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RKret\AppData\Local\Microsoft\Windows\INetCache\Content.Outlook\9IZPY03C\"/>
    </mc:Choice>
  </mc:AlternateContent>
  <xr:revisionPtr revIDLastSave="0" documentId="13_ncr:1_{64E5972B-9F38-4741-8A87-4804B08CD26D}" xr6:coauthVersionLast="36" xr6:coauthVersionMax="36" xr10:uidLastSave="{00000000-0000-0000-0000-000000000000}"/>
  <bookViews>
    <workbookView xWindow="0" yWindow="0" windowWidth="25135" windowHeight="11075" activeTab="1" xr2:uid="{00000000-000D-0000-FFFF-FFFF00000000}"/>
  </bookViews>
  <sheets>
    <sheet name="LAT12 and 12A FORMS" sheetId="5" r:id="rId1"/>
    <sheet name="LTC RULES" sheetId="4" r:id="rId2"/>
    <sheet name="PROPERTY DATA" sheetId="1" r:id="rId3"/>
    <sheet name="CALCULATIONS" sheetId="2" r:id="rId4"/>
    <sheet name="REPORT" sheetId="3" r:id="rId5"/>
  </sheets>
  <definedNames>
    <definedName name="b">CALCULATIONS!$W$68</definedName>
    <definedName name="di">CALCULATIONS!$W$67</definedName>
    <definedName name="dt">CALCULATIONS!$W$69</definedName>
    <definedName name="DTO">CALCULATIONS!$W$69</definedName>
    <definedName name="_xlnm.Print_Area" localSheetId="3">CALCULATIONS!$A$1:$R$55</definedName>
    <definedName name="_xlnm.Print_Area" localSheetId="0">'LAT12 and 12A FORMS'!$B$1:$J$112</definedName>
    <definedName name="_xlnm.Print_Area" localSheetId="1">'LTC RULES'!$A$1:$E$35</definedName>
    <definedName name="_xlnm.Print_Area" localSheetId="4">REPORT!$A$1:$Q$44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3" l="1"/>
  <c r="K8" i="3"/>
  <c r="K7" i="3"/>
  <c r="K6" i="3"/>
  <c r="K5" i="3"/>
  <c r="G9" i="3"/>
  <c r="G8" i="3"/>
  <c r="G6" i="3"/>
  <c r="G5" i="3"/>
  <c r="D9" i="3"/>
  <c r="D8" i="3"/>
  <c r="D7" i="3"/>
  <c r="D6" i="3"/>
  <c r="D5" i="3"/>
  <c r="Q6" i="3"/>
  <c r="Q7" i="3"/>
  <c r="Q5" i="3"/>
  <c r="O6" i="3"/>
  <c r="O7" i="3"/>
  <c r="O5" i="3"/>
  <c r="L6" i="3"/>
  <c r="L7" i="3"/>
  <c r="L8" i="3"/>
  <c r="L9" i="3"/>
  <c r="L5" i="3"/>
  <c r="J6" i="3"/>
  <c r="J7" i="3"/>
  <c r="J5" i="3"/>
  <c r="F6" i="3"/>
  <c r="F7" i="3"/>
  <c r="F8" i="3"/>
  <c r="F9" i="3"/>
  <c r="F5" i="3"/>
  <c r="B6" i="3"/>
  <c r="B7" i="3"/>
  <c r="B8" i="3"/>
  <c r="B9" i="3"/>
  <c r="B5" i="3"/>
  <c r="G15" i="2"/>
  <c r="G16" i="2"/>
  <c r="G17" i="2"/>
  <c r="G18" i="2"/>
  <c r="G19" i="2"/>
  <c r="G20" i="2"/>
  <c r="G21" i="2"/>
  <c r="G22" i="2"/>
  <c r="G23" i="2"/>
  <c r="G24" i="2"/>
  <c r="G25" i="2"/>
  <c r="G26" i="2"/>
  <c r="G27" i="2"/>
  <c r="G28" i="2"/>
  <c r="G29" i="2"/>
  <c r="G30" i="2"/>
  <c r="G31" i="2"/>
  <c r="G32" i="2"/>
  <c r="G33" i="2"/>
  <c r="G34" i="2"/>
  <c r="G35" i="2"/>
  <c r="G36" i="2"/>
  <c r="G37" i="2"/>
  <c r="G38" i="2" s="1"/>
  <c r="G14" i="2"/>
  <c r="G13" i="2"/>
  <c r="H13" i="2" s="1"/>
  <c r="C13" i="2"/>
  <c r="G8" i="2"/>
  <c r="N6" i="2"/>
  <c r="N6" i="3" s="1"/>
  <c r="N5" i="2"/>
  <c r="N5" i="3" s="1"/>
  <c r="H14" i="2" l="1"/>
  <c r="AJ435" i="2"/>
  <c r="U435" i="2"/>
  <c r="AJ434" i="2"/>
  <c r="U434" i="2"/>
  <c r="AJ433" i="2"/>
  <c r="U433" i="2"/>
  <c r="AJ432" i="2"/>
  <c r="U432" i="2"/>
  <c r="AJ431" i="2"/>
  <c r="U431" i="2"/>
  <c r="AJ430" i="2"/>
  <c r="U430" i="2"/>
  <c r="AJ429" i="2"/>
  <c r="U429" i="2"/>
  <c r="AJ428" i="2"/>
  <c r="U428" i="2"/>
  <c r="AJ427" i="2"/>
  <c r="U427" i="2"/>
  <c r="AJ426" i="2"/>
  <c r="U426" i="2"/>
  <c r="AJ425" i="2"/>
  <c r="U425" i="2"/>
  <c r="AJ424" i="2"/>
  <c r="U424" i="2"/>
  <c r="AJ423" i="2"/>
  <c r="U423" i="2"/>
  <c r="AJ422" i="2"/>
  <c r="U422" i="2"/>
  <c r="AJ421" i="2"/>
  <c r="U421" i="2"/>
  <c r="AJ420" i="2"/>
  <c r="U420" i="2"/>
  <c r="AJ419" i="2"/>
  <c r="U419" i="2"/>
  <c r="AJ418" i="2"/>
  <c r="U418" i="2"/>
  <c r="AJ417" i="2"/>
  <c r="U417" i="2"/>
  <c r="AJ416" i="2"/>
  <c r="U416" i="2"/>
  <c r="AJ415" i="2"/>
  <c r="U415" i="2"/>
  <c r="AJ414" i="2"/>
  <c r="U414" i="2"/>
  <c r="AJ413" i="2"/>
  <c r="U413" i="2"/>
  <c r="AJ412" i="2"/>
  <c r="U412" i="2"/>
  <c r="AJ411" i="2"/>
  <c r="W411" i="2"/>
  <c r="U411" i="2"/>
  <c r="AK406" i="2"/>
  <c r="AJ406" i="2"/>
  <c r="V406" i="2"/>
  <c r="U406" i="2"/>
  <c r="AK405" i="2"/>
  <c r="V405" i="2"/>
  <c r="AK404" i="2"/>
  <c r="V404" i="2"/>
  <c r="AK403" i="2"/>
  <c r="V403" i="2"/>
  <c r="AK402" i="2"/>
  <c r="V402" i="2"/>
  <c r="AK401" i="2"/>
  <c r="V401" i="2"/>
  <c r="AK400" i="2"/>
  <c r="V400" i="2"/>
  <c r="AK399" i="2"/>
  <c r="V399" i="2"/>
  <c r="AK398" i="2"/>
  <c r="V398" i="2"/>
  <c r="AK397" i="2"/>
  <c r="V397" i="2"/>
  <c r="AK396" i="2"/>
  <c r="V396" i="2"/>
  <c r="AK395" i="2"/>
  <c r="V395" i="2"/>
  <c r="AK394" i="2"/>
  <c r="AJ394" i="2"/>
  <c r="V394" i="2"/>
  <c r="U394" i="2"/>
  <c r="AK393" i="2"/>
  <c r="V393" i="2"/>
  <c r="AK392" i="2"/>
  <c r="V392" i="2"/>
  <c r="AK391" i="2"/>
  <c r="V391" i="2"/>
  <c r="AK390" i="2"/>
  <c r="V390" i="2"/>
  <c r="AK389" i="2"/>
  <c r="V389" i="2"/>
  <c r="AK388" i="2"/>
  <c r="V388" i="2"/>
  <c r="AK387" i="2"/>
  <c r="V387" i="2"/>
  <c r="AK386" i="2"/>
  <c r="V386" i="2"/>
  <c r="AK385" i="2"/>
  <c r="V385" i="2"/>
  <c r="AK384" i="2"/>
  <c r="V384" i="2"/>
  <c r="AK383" i="2"/>
  <c r="V383" i="2"/>
  <c r="AK382" i="2"/>
  <c r="AJ382" i="2"/>
  <c r="V382" i="2"/>
  <c r="U382" i="2"/>
  <c r="AK381" i="2"/>
  <c r="V381" i="2"/>
  <c r="AK380" i="2"/>
  <c r="V380" i="2"/>
  <c r="AK379" i="2"/>
  <c r="V379" i="2"/>
  <c r="AK378" i="2"/>
  <c r="V378" i="2"/>
  <c r="AK377" i="2"/>
  <c r="V377" i="2"/>
  <c r="AK376" i="2"/>
  <c r="V376" i="2"/>
  <c r="AK375" i="2"/>
  <c r="V375" i="2"/>
  <c r="AK374" i="2"/>
  <c r="V374" i="2"/>
  <c r="AK373" i="2"/>
  <c r="V373" i="2"/>
  <c r="AK372" i="2"/>
  <c r="V372" i="2"/>
  <c r="AK371" i="2"/>
  <c r="V371" i="2"/>
  <c r="AK370" i="2"/>
  <c r="AJ370" i="2"/>
  <c r="V370" i="2"/>
  <c r="U370" i="2"/>
  <c r="AK369" i="2"/>
  <c r="V369" i="2"/>
  <c r="AK368" i="2"/>
  <c r="V368" i="2"/>
  <c r="AK367" i="2"/>
  <c r="V367" i="2"/>
  <c r="AK366" i="2"/>
  <c r="V366" i="2"/>
  <c r="AK365" i="2"/>
  <c r="V365" i="2"/>
  <c r="AK364" i="2"/>
  <c r="V364" i="2"/>
  <c r="AK363" i="2"/>
  <c r="V363" i="2"/>
  <c r="AK362" i="2"/>
  <c r="V362" i="2"/>
  <c r="AK361" i="2"/>
  <c r="V361" i="2"/>
  <c r="AK360" i="2"/>
  <c r="V360" i="2"/>
  <c r="AK359" i="2"/>
  <c r="V359" i="2"/>
  <c r="AK358" i="2"/>
  <c r="AJ358" i="2"/>
  <c r="V358" i="2"/>
  <c r="U358" i="2"/>
  <c r="AK357" i="2"/>
  <c r="V357" i="2"/>
  <c r="AK356" i="2"/>
  <c r="V356" i="2"/>
  <c r="AK355" i="2"/>
  <c r="V355" i="2"/>
  <c r="AK354" i="2"/>
  <c r="V354" i="2"/>
  <c r="AK353" i="2"/>
  <c r="V353" i="2"/>
  <c r="AK352" i="2"/>
  <c r="V352" i="2"/>
  <c r="AK351" i="2"/>
  <c r="V351" i="2"/>
  <c r="AK350" i="2"/>
  <c r="V350" i="2"/>
  <c r="AK349" i="2"/>
  <c r="V349" i="2"/>
  <c r="AK348" i="2"/>
  <c r="V348" i="2"/>
  <c r="AK347" i="2"/>
  <c r="V347" i="2"/>
  <c r="AK346" i="2"/>
  <c r="AJ346" i="2"/>
  <c r="V346" i="2"/>
  <c r="U346" i="2"/>
  <c r="AK345" i="2"/>
  <c r="V345" i="2"/>
  <c r="AK344" i="2"/>
  <c r="V344" i="2"/>
  <c r="AK343" i="2"/>
  <c r="V343" i="2"/>
  <c r="AK342" i="2"/>
  <c r="V342" i="2"/>
  <c r="AK341" i="2"/>
  <c r="V341" i="2"/>
  <c r="AK340" i="2"/>
  <c r="V340" i="2"/>
  <c r="AK339" i="2"/>
  <c r="V339" i="2"/>
  <c r="AK338" i="2"/>
  <c r="V338" i="2"/>
  <c r="AK337" i="2"/>
  <c r="V337" i="2"/>
  <c r="AK336" i="2"/>
  <c r="V336" i="2"/>
  <c r="AK335" i="2"/>
  <c r="V335" i="2"/>
  <c r="AK334" i="2"/>
  <c r="AJ334" i="2"/>
  <c r="V334" i="2"/>
  <c r="U334" i="2"/>
  <c r="AK333" i="2"/>
  <c r="V333" i="2"/>
  <c r="AK332" i="2"/>
  <c r="V332" i="2"/>
  <c r="AK331" i="2"/>
  <c r="V331" i="2"/>
  <c r="AK330" i="2"/>
  <c r="V330" i="2"/>
  <c r="AK329" i="2"/>
  <c r="V329" i="2"/>
  <c r="AK328" i="2"/>
  <c r="V328" i="2"/>
  <c r="AK327" i="2"/>
  <c r="V327" i="2"/>
  <c r="AK326" i="2"/>
  <c r="V326" i="2"/>
  <c r="AK325" i="2"/>
  <c r="V325" i="2"/>
  <c r="AK324" i="2"/>
  <c r="V324" i="2"/>
  <c r="AK323" i="2"/>
  <c r="V323" i="2"/>
  <c r="AK322" i="2"/>
  <c r="AJ322" i="2"/>
  <c r="V322" i="2"/>
  <c r="U322" i="2"/>
  <c r="AK321" i="2"/>
  <c r="V321" i="2"/>
  <c r="AK320" i="2"/>
  <c r="V320" i="2"/>
  <c r="AK319" i="2"/>
  <c r="V319" i="2"/>
  <c r="AK318" i="2"/>
  <c r="V318" i="2"/>
  <c r="AK317" i="2"/>
  <c r="V317" i="2"/>
  <c r="AK316" i="2"/>
  <c r="V316" i="2"/>
  <c r="AK315" i="2"/>
  <c r="V315" i="2"/>
  <c r="AK314" i="2"/>
  <c r="V314" i="2"/>
  <c r="AK313" i="2"/>
  <c r="V313" i="2"/>
  <c r="AK312" i="2"/>
  <c r="V312" i="2"/>
  <c r="AK311" i="2"/>
  <c r="V311" i="2"/>
  <c r="AK310" i="2"/>
  <c r="AJ310" i="2"/>
  <c r="V310" i="2"/>
  <c r="U310" i="2"/>
  <c r="AK309" i="2"/>
  <c r="V309" i="2"/>
  <c r="AK308" i="2"/>
  <c r="V308" i="2"/>
  <c r="AK307" i="2"/>
  <c r="V307" i="2"/>
  <c r="AK306" i="2"/>
  <c r="V306" i="2"/>
  <c r="AK305" i="2"/>
  <c r="V305" i="2"/>
  <c r="AK304" i="2"/>
  <c r="V304" i="2"/>
  <c r="AK303" i="2"/>
  <c r="V303" i="2"/>
  <c r="AK302" i="2"/>
  <c r="V302" i="2"/>
  <c r="AK301" i="2"/>
  <c r="V301" i="2"/>
  <c r="AK300" i="2"/>
  <c r="V300" i="2"/>
  <c r="AK299" i="2"/>
  <c r="V299" i="2"/>
  <c r="AK298" i="2"/>
  <c r="AJ298" i="2"/>
  <c r="V298" i="2"/>
  <c r="U298" i="2"/>
  <c r="AK297" i="2"/>
  <c r="V297" i="2"/>
  <c r="AK296" i="2"/>
  <c r="V296" i="2"/>
  <c r="AK295" i="2"/>
  <c r="V295" i="2"/>
  <c r="AK294" i="2"/>
  <c r="V294" i="2"/>
  <c r="AK293" i="2"/>
  <c r="V293" i="2"/>
  <c r="AK292" i="2"/>
  <c r="V292" i="2"/>
  <c r="AK291" i="2"/>
  <c r="V291" i="2"/>
  <c r="AK290" i="2"/>
  <c r="V290" i="2"/>
  <c r="AK289" i="2"/>
  <c r="V289" i="2"/>
  <c r="AK288" i="2"/>
  <c r="V288" i="2"/>
  <c r="AK287" i="2"/>
  <c r="V287" i="2"/>
  <c r="AK286" i="2"/>
  <c r="AJ286" i="2"/>
  <c r="V286" i="2"/>
  <c r="U286" i="2"/>
  <c r="AK285" i="2"/>
  <c r="V285" i="2"/>
  <c r="AK284" i="2"/>
  <c r="V284" i="2"/>
  <c r="AK283" i="2"/>
  <c r="V283" i="2"/>
  <c r="AK282" i="2"/>
  <c r="V282" i="2"/>
  <c r="AK281" i="2"/>
  <c r="V281" i="2"/>
  <c r="AK280" i="2"/>
  <c r="V280" i="2"/>
  <c r="AK279" i="2"/>
  <c r="V279" i="2"/>
  <c r="AK278" i="2"/>
  <c r="V278" i="2"/>
  <c r="AK277" i="2"/>
  <c r="V277" i="2"/>
  <c r="AK276" i="2"/>
  <c r="V276" i="2"/>
  <c r="AK275" i="2"/>
  <c r="V275" i="2"/>
  <c r="AK274" i="2"/>
  <c r="AJ274" i="2"/>
  <c r="V274" i="2"/>
  <c r="U274" i="2"/>
  <c r="AK273" i="2"/>
  <c r="V273" i="2"/>
  <c r="AK272" i="2"/>
  <c r="V272" i="2"/>
  <c r="AK271" i="2"/>
  <c r="V271" i="2"/>
  <c r="AK270" i="2"/>
  <c r="V270" i="2"/>
  <c r="AK269" i="2"/>
  <c r="V269" i="2"/>
  <c r="AK268" i="2"/>
  <c r="V268" i="2"/>
  <c r="AK267" i="2"/>
  <c r="V267" i="2"/>
  <c r="AK266" i="2"/>
  <c r="V266" i="2"/>
  <c r="AK265" i="2"/>
  <c r="V265" i="2"/>
  <c r="AK264" i="2"/>
  <c r="V264" i="2"/>
  <c r="AK263" i="2"/>
  <c r="V263" i="2"/>
  <c r="AK262" i="2"/>
  <c r="AJ262" i="2"/>
  <c r="V262" i="2"/>
  <c r="U262" i="2"/>
  <c r="AK261" i="2"/>
  <c r="V261" i="2"/>
  <c r="AK260" i="2"/>
  <c r="V260" i="2"/>
  <c r="AK259" i="2"/>
  <c r="V259" i="2"/>
  <c r="AK258" i="2"/>
  <c r="V258" i="2"/>
  <c r="AK257" i="2"/>
  <c r="V257" i="2"/>
  <c r="AK256" i="2"/>
  <c r="V256" i="2"/>
  <c r="AK255" i="2"/>
  <c r="V255" i="2"/>
  <c r="AK254" i="2"/>
  <c r="V254" i="2"/>
  <c r="AK253" i="2"/>
  <c r="V253" i="2"/>
  <c r="AK252" i="2"/>
  <c r="V252" i="2"/>
  <c r="AK251" i="2"/>
  <c r="V251" i="2"/>
  <c r="AK250" i="2"/>
  <c r="AJ250" i="2"/>
  <c r="V250" i="2"/>
  <c r="U250" i="2"/>
  <c r="AK249" i="2"/>
  <c r="V249" i="2"/>
  <c r="AK248" i="2"/>
  <c r="V248" i="2"/>
  <c r="AK247" i="2"/>
  <c r="V247" i="2"/>
  <c r="AK246" i="2"/>
  <c r="V246" i="2"/>
  <c r="AK245" i="2"/>
  <c r="V245" i="2"/>
  <c r="AK244" i="2"/>
  <c r="V244" i="2"/>
  <c r="AK243" i="2"/>
  <c r="V243" i="2"/>
  <c r="AK242" i="2"/>
  <c r="V242" i="2"/>
  <c r="AK241" i="2"/>
  <c r="V241" i="2"/>
  <c r="AK240" i="2"/>
  <c r="V240" i="2"/>
  <c r="AK239" i="2"/>
  <c r="V239" i="2"/>
  <c r="AK238" i="2"/>
  <c r="AJ238" i="2"/>
  <c r="V238" i="2"/>
  <c r="U238" i="2"/>
  <c r="AK237" i="2"/>
  <c r="V237" i="2"/>
  <c r="AK236" i="2"/>
  <c r="V236" i="2"/>
  <c r="AK235" i="2"/>
  <c r="V235" i="2"/>
  <c r="AK234" i="2"/>
  <c r="V234" i="2"/>
  <c r="AK233" i="2"/>
  <c r="V233" i="2"/>
  <c r="AK232" i="2"/>
  <c r="V232" i="2"/>
  <c r="AK231" i="2"/>
  <c r="V231" i="2"/>
  <c r="AK230" i="2"/>
  <c r="V230" i="2"/>
  <c r="AK229" i="2"/>
  <c r="V229" i="2"/>
  <c r="AK228" i="2"/>
  <c r="V228" i="2"/>
  <c r="AK227" i="2"/>
  <c r="V227" i="2"/>
  <c r="AK226" i="2"/>
  <c r="AJ226" i="2"/>
  <c r="V226" i="2"/>
  <c r="U226" i="2"/>
  <c r="AK225" i="2"/>
  <c r="V225" i="2"/>
  <c r="AK224" i="2"/>
  <c r="V224" i="2"/>
  <c r="AK223" i="2"/>
  <c r="V223" i="2"/>
  <c r="AK222" i="2"/>
  <c r="V222" i="2"/>
  <c r="AK221" i="2"/>
  <c r="V221" i="2"/>
  <c r="AK220" i="2"/>
  <c r="V220" i="2"/>
  <c r="AK219" i="2"/>
  <c r="V219" i="2"/>
  <c r="AK218" i="2"/>
  <c r="V218" i="2"/>
  <c r="AK217" i="2"/>
  <c r="V217" i="2"/>
  <c r="AK216" i="2"/>
  <c r="V216" i="2"/>
  <c r="AK215" i="2"/>
  <c r="V215" i="2"/>
  <c r="AK214" i="2"/>
  <c r="AJ214" i="2"/>
  <c r="V214" i="2"/>
  <c r="U214" i="2"/>
  <c r="AK213" i="2"/>
  <c r="V213" i="2"/>
  <c r="AK212" i="2"/>
  <c r="V212" i="2"/>
  <c r="AK211" i="2"/>
  <c r="V211" i="2"/>
  <c r="AK210" i="2"/>
  <c r="V210" i="2"/>
  <c r="AK209" i="2"/>
  <c r="V209" i="2"/>
  <c r="AK208" i="2"/>
  <c r="V208" i="2"/>
  <c r="AK207" i="2"/>
  <c r="V207" i="2"/>
  <c r="AK206" i="2"/>
  <c r="V206" i="2"/>
  <c r="AK205" i="2"/>
  <c r="V205" i="2"/>
  <c r="AK204" i="2"/>
  <c r="V204" i="2"/>
  <c r="AK203" i="2"/>
  <c r="V203" i="2"/>
  <c r="AK202" i="2"/>
  <c r="AJ202" i="2"/>
  <c r="V202" i="2"/>
  <c r="U202" i="2"/>
  <c r="AK201" i="2"/>
  <c r="V201" i="2"/>
  <c r="AK200" i="2"/>
  <c r="V200" i="2"/>
  <c r="AK199" i="2"/>
  <c r="V199" i="2"/>
  <c r="AK198" i="2"/>
  <c r="V198" i="2"/>
  <c r="AK197" i="2"/>
  <c r="V197" i="2"/>
  <c r="AK196" i="2"/>
  <c r="V196" i="2"/>
  <c r="AK195" i="2"/>
  <c r="V195" i="2"/>
  <c r="AK194" i="2"/>
  <c r="V194" i="2"/>
  <c r="AK193" i="2"/>
  <c r="V193" i="2"/>
  <c r="AK192" i="2"/>
  <c r="V192" i="2"/>
  <c r="AK191" i="2"/>
  <c r="V191" i="2"/>
  <c r="AK190" i="2"/>
  <c r="AJ190" i="2"/>
  <c r="V190" i="2"/>
  <c r="U190" i="2"/>
  <c r="AK189" i="2"/>
  <c r="V189" i="2"/>
  <c r="AK188" i="2"/>
  <c r="V188" i="2"/>
  <c r="AK187" i="2"/>
  <c r="V187" i="2"/>
  <c r="AK186" i="2"/>
  <c r="V186" i="2"/>
  <c r="AK185" i="2"/>
  <c r="V185" i="2"/>
  <c r="AK184" i="2"/>
  <c r="V184" i="2"/>
  <c r="AK183" i="2"/>
  <c r="V183" i="2"/>
  <c r="AK182" i="2"/>
  <c r="V182" i="2"/>
  <c r="AK181" i="2"/>
  <c r="V181" i="2"/>
  <c r="AK180" i="2"/>
  <c r="V180" i="2"/>
  <c r="AK179" i="2"/>
  <c r="V179" i="2"/>
  <c r="AK178" i="2"/>
  <c r="AJ178" i="2"/>
  <c r="V178" i="2"/>
  <c r="U178" i="2"/>
  <c r="AK177" i="2"/>
  <c r="V177" i="2"/>
  <c r="AK176" i="2"/>
  <c r="V176" i="2"/>
  <c r="AK175" i="2"/>
  <c r="V175" i="2"/>
  <c r="AK174" i="2"/>
  <c r="V174" i="2"/>
  <c r="AK173" i="2"/>
  <c r="V173" i="2"/>
  <c r="AK172" i="2"/>
  <c r="V172" i="2"/>
  <c r="AK171" i="2"/>
  <c r="V171" i="2"/>
  <c r="AK170" i="2"/>
  <c r="V170" i="2"/>
  <c r="AK169" i="2"/>
  <c r="V169" i="2"/>
  <c r="AK168" i="2"/>
  <c r="V168" i="2"/>
  <c r="AK167" i="2"/>
  <c r="V167" i="2"/>
  <c r="AK166" i="2"/>
  <c r="AJ166" i="2"/>
  <c r="V166" i="2"/>
  <c r="U166" i="2"/>
  <c r="AK165" i="2"/>
  <c r="V165" i="2"/>
  <c r="AK164" i="2"/>
  <c r="V164" i="2"/>
  <c r="AK163" i="2"/>
  <c r="V163" i="2"/>
  <c r="AK162" i="2"/>
  <c r="V162" i="2"/>
  <c r="AK161" i="2"/>
  <c r="V161" i="2"/>
  <c r="AK160" i="2"/>
  <c r="V160" i="2"/>
  <c r="AK159" i="2"/>
  <c r="V159" i="2"/>
  <c r="AK158" i="2"/>
  <c r="V158" i="2"/>
  <c r="AK157" i="2"/>
  <c r="V157" i="2"/>
  <c r="AK156" i="2"/>
  <c r="V156" i="2"/>
  <c r="AK155" i="2"/>
  <c r="V155" i="2"/>
  <c r="AK154" i="2"/>
  <c r="AJ154" i="2"/>
  <c r="V154" i="2"/>
  <c r="U154" i="2"/>
  <c r="AK153" i="2"/>
  <c r="V153" i="2"/>
  <c r="AK152" i="2"/>
  <c r="V152" i="2"/>
  <c r="AK151" i="2"/>
  <c r="V151" i="2"/>
  <c r="AK150" i="2"/>
  <c r="V150" i="2"/>
  <c r="AK149" i="2"/>
  <c r="V149" i="2"/>
  <c r="AK148" i="2"/>
  <c r="V148" i="2"/>
  <c r="AK147" i="2"/>
  <c r="V147" i="2"/>
  <c r="AK146" i="2"/>
  <c r="V146" i="2"/>
  <c r="AK145" i="2"/>
  <c r="V145" i="2"/>
  <c r="AK144" i="2"/>
  <c r="V144" i="2"/>
  <c r="AK143" i="2"/>
  <c r="V143" i="2"/>
  <c r="AK142" i="2"/>
  <c r="AJ142" i="2"/>
  <c r="V142" i="2"/>
  <c r="U142" i="2"/>
  <c r="AK141" i="2"/>
  <c r="V141" i="2"/>
  <c r="AK140" i="2"/>
  <c r="V140" i="2"/>
  <c r="AK139" i="2"/>
  <c r="V139" i="2"/>
  <c r="AK138" i="2"/>
  <c r="V138" i="2"/>
  <c r="AK137" i="2"/>
  <c r="V137" i="2"/>
  <c r="AK136" i="2"/>
  <c r="V136" i="2"/>
  <c r="AK135" i="2"/>
  <c r="V135" i="2"/>
  <c r="AK134" i="2"/>
  <c r="V134" i="2"/>
  <c r="AK133" i="2"/>
  <c r="V133" i="2"/>
  <c r="AK132" i="2"/>
  <c r="V132" i="2"/>
  <c r="AK131" i="2"/>
  <c r="V131" i="2"/>
  <c r="AK130" i="2"/>
  <c r="AJ130" i="2"/>
  <c r="V130" i="2"/>
  <c r="U130" i="2"/>
  <c r="AK129" i="2"/>
  <c r="V129" i="2"/>
  <c r="AK128" i="2"/>
  <c r="V128" i="2"/>
  <c r="AK127" i="2"/>
  <c r="V127" i="2"/>
  <c r="AK126" i="2"/>
  <c r="V126" i="2"/>
  <c r="AK125" i="2"/>
  <c r="V125" i="2"/>
  <c r="AK124" i="2"/>
  <c r="V124" i="2"/>
  <c r="AK123" i="2"/>
  <c r="V123" i="2"/>
  <c r="AK122" i="2"/>
  <c r="V122" i="2"/>
  <c r="AK121" i="2"/>
  <c r="V121" i="2"/>
  <c r="AK120" i="2"/>
  <c r="V120" i="2"/>
  <c r="AK119" i="2"/>
  <c r="V119" i="2"/>
  <c r="AK118" i="2"/>
  <c r="V118" i="2"/>
  <c r="AK117" i="2"/>
  <c r="V117" i="2"/>
  <c r="AK116" i="2"/>
  <c r="V116" i="2"/>
  <c r="AK115" i="2"/>
  <c r="V115" i="2"/>
  <c r="AK114" i="2"/>
  <c r="V114" i="2"/>
  <c r="AK113" i="2"/>
  <c r="V113" i="2"/>
  <c r="AK112" i="2"/>
  <c r="V112" i="2"/>
  <c r="AK111" i="2"/>
  <c r="V111" i="2"/>
  <c r="AK110" i="2"/>
  <c r="V110" i="2"/>
  <c r="AK109" i="2"/>
  <c r="V109" i="2"/>
  <c r="AK108" i="2"/>
  <c r="V108" i="2"/>
  <c r="AL69" i="2"/>
  <c r="W69" i="2"/>
  <c r="AL68" i="2"/>
  <c r="W68" i="2"/>
  <c r="AL67" i="2"/>
  <c r="AL411" i="2" s="1"/>
  <c r="AL66" i="2"/>
  <c r="AT65" i="2" s="1"/>
  <c r="W66" i="2"/>
  <c r="AL65" i="2"/>
  <c r="W65" i="2"/>
  <c r="O52" i="2"/>
  <c r="Q52" i="2" s="1"/>
  <c r="O51" i="2"/>
  <c r="N51" i="2"/>
  <c r="O50" i="2"/>
  <c r="N50" i="2"/>
  <c r="M51" i="2" s="1"/>
  <c r="O49" i="2"/>
  <c r="N49" i="2"/>
  <c r="M50" i="2" s="1"/>
  <c r="O48" i="2"/>
  <c r="N48" i="2"/>
  <c r="M49" i="2" s="1"/>
  <c r="O45" i="2"/>
  <c r="O44" i="2"/>
  <c r="O43" i="2"/>
  <c r="H42" i="2"/>
  <c r="D42" i="2"/>
  <c r="A42" i="2"/>
  <c r="P37" i="2"/>
  <c r="M37" i="2"/>
  <c r="P36" i="2"/>
  <c r="M36" i="2"/>
  <c r="P35" i="2"/>
  <c r="M35" i="2"/>
  <c r="P34" i="2"/>
  <c r="M34" i="2"/>
  <c r="P33" i="2"/>
  <c r="M33" i="2"/>
  <c r="P32" i="2"/>
  <c r="M32" i="2"/>
  <c r="P31" i="2"/>
  <c r="M31" i="2"/>
  <c r="P30" i="2"/>
  <c r="M30" i="2"/>
  <c r="P29" i="2"/>
  <c r="M29" i="2"/>
  <c r="P28" i="2"/>
  <c r="M28" i="2"/>
  <c r="P27" i="2"/>
  <c r="M27" i="2"/>
  <c r="P26" i="2"/>
  <c r="M26" i="2"/>
  <c r="P25" i="2"/>
  <c r="M25" i="2"/>
  <c r="P24" i="2"/>
  <c r="M24" i="2"/>
  <c r="P23" i="2"/>
  <c r="M23" i="2"/>
  <c r="P22" i="2"/>
  <c r="M22" i="2"/>
  <c r="P21" i="2"/>
  <c r="M21" i="2"/>
  <c r="P20" i="2"/>
  <c r="M20" i="2"/>
  <c r="P19" i="2"/>
  <c r="M19" i="2"/>
  <c r="P18" i="2"/>
  <c r="M18" i="2"/>
  <c r="P17" i="2"/>
  <c r="M17" i="2"/>
  <c r="P16" i="2"/>
  <c r="M16" i="2"/>
  <c r="P15" i="2"/>
  <c r="M15" i="2"/>
  <c r="P14" i="2"/>
  <c r="M14" i="2"/>
  <c r="P13" i="2"/>
  <c r="M13" i="2"/>
  <c r="L13" i="2"/>
  <c r="I13" i="2"/>
  <c r="I14" i="2" s="1"/>
  <c r="I15" i="2" s="1"/>
  <c r="I16" i="2" s="1"/>
  <c r="E13" i="2"/>
  <c r="B13" i="2"/>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G9" i="2"/>
  <c r="D9" i="2"/>
  <c r="K9" i="2"/>
  <c r="D8" i="2"/>
  <c r="Q7" i="2"/>
  <c r="K8" i="2"/>
  <c r="K7" i="2"/>
  <c r="G7" i="2"/>
  <c r="G7" i="3" s="1"/>
  <c r="D7" i="2"/>
  <c r="Q6" i="2"/>
  <c r="K6" i="2"/>
  <c r="G6" i="2"/>
  <c r="D6" i="2"/>
  <c r="Q5" i="2"/>
  <c r="K5" i="2"/>
  <c r="G5" i="2"/>
  <c r="D5" i="2"/>
  <c r="Q51" i="2" l="1"/>
  <c r="O54" i="2"/>
  <c r="Q39" i="3" s="1"/>
  <c r="H15" i="2"/>
  <c r="N8" i="2"/>
  <c r="N8" i="3" s="1"/>
  <c r="N7" i="2"/>
  <c r="N7" i="3" s="1"/>
  <c r="N9" i="2"/>
  <c r="N9" i="3" s="1"/>
  <c r="AE65" i="2"/>
  <c r="W107" i="2" s="1"/>
  <c r="N13" i="2"/>
  <c r="M38" i="2"/>
  <c r="AL107" i="2"/>
  <c r="I17" i="2"/>
  <c r="E14" i="2"/>
  <c r="J13" i="2"/>
  <c r="Q49" i="2"/>
  <c r="Q50" i="2"/>
  <c r="AL108" i="2"/>
  <c r="L14" i="2"/>
  <c r="Q48" i="2"/>
  <c r="H16" i="2" l="1"/>
  <c r="AO108" i="2"/>
  <c r="AP108" i="2" s="1"/>
  <c r="AQ108" i="2" s="1"/>
  <c r="W108" i="2"/>
  <c r="Z108" i="2" s="1"/>
  <c r="AA108" i="2" s="1"/>
  <c r="W109" i="2" s="1"/>
  <c r="Z109" i="2" s="1"/>
  <c r="AA109" i="2" s="1"/>
  <c r="AB109" i="2" s="1"/>
  <c r="I18" i="2"/>
  <c r="E15" i="2"/>
  <c r="J14" i="2"/>
  <c r="L15" i="2"/>
  <c r="N14" i="2"/>
  <c r="H17" i="2" l="1"/>
  <c r="H18" i="2" s="1"/>
  <c r="AL109" i="2"/>
  <c r="AO109" i="2" s="1"/>
  <c r="AP109" i="2" s="1"/>
  <c r="AL110" i="2" s="1"/>
  <c r="AO110" i="2" s="1"/>
  <c r="AP110" i="2" s="1"/>
  <c r="AB108" i="2"/>
  <c r="J15" i="2"/>
  <c r="I19" i="2"/>
  <c r="W110" i="2"/>
  <c r="Z110" i="2" s="1"/>
  <c r="AA110" i="2" s="1"/>
  <c r="L16" i="2"/>
  <c r="N15" i="2"/>
  <c r="E16" i="2"/>
  <c r="H19" i="2" l="1"/>
  <c r="AQ109" i="2"/>
  <c r="J17" i="2"/>
  <c r="AQ110" i="2"/>
  <c r="AL111" i="2"/>
  <c r="I20" i="2"/>
  <c r="L17" i="2"/>
  <c r="N16" i="2"/>
  <c r="J18" i="2"/>
  <c r="J16" i="2"/>
  <c r="E17" i="2"/>
  <c r="W111" i="2"/>
  <c r="AB110" i="2"/>
  <c r="H20" i="2" l="1"/>
  <c r="I21" i="2"/>
  <c r="AO111" i="2"/>
  <c r="AP111" i="2" s="1"/>
  <c r="L18" i="2"/>
  <c r="N17" i="2"/>
  <c r="E18" i="2"/>
  <c r="Z111" i="2"/>
  <c r="AA111" i="2" s="1"/>
  <c r="H21" i="2" l="1"/>
  <c r="J19" i="2"/>
  <c r="J20" i="2"/>
  <c r="E19" i="2"/>
  <c r="I22" i="2"/>
  <c r="AQ111" i="2"/>
  <c r="AL112" i="2"/>
  <c r="AO112" i="2" s="1"/>
  <c r="AP112" i="2" s="1"/>
  <c r="L19" i="2"/>
  <c r="N18" i="2"/>
  <c r="W112" i="2"/>
  <c r="AB111" i="2"/>
  <c r="H22" i="2" l="1"/>
  <c r="J22" i="2" s="1"/>
  <c r="J21" i="2"/>
  <c r="I23" i="2"/>
  <c r="E20" i="2"/>
  <c r="L20" i="2"/>
  <c r="N19" i="2"/>
  <c r="AL113" i="2"/>
  <c r="AO113" i="2" s="1"/>
  <c r="AP113" i="2" s="1"/>
  <c r="AQ112" i="2"/>
  <c r="Z112" i="2"/>
  <c r="AA112" i="2" s="1"/>
  <c r="H23" i="2" l="1"/>
  <c r="H24" i="2" s="1"/>
  <c r="H25" i="2" s="1"/>
  <c r="H26" i="2" s="1"/>
  <c r="H27" i="2" s="1"/>
  <c r="H28" i="2" s="1"/>
  <c r="H29" i="2" s="1"/>
  <c r="H30" i="2" s="1"/>
  <c r="H31" i="2" s="1"/>
  <c r="H32" i="2" s="1"/>
  <c r="H33" i="2" s="1"/>
  <c r="H34" i="2" s="1"/>
  <c r="H35" i="2" s="1"/>
  <c r="H36" i="2" s="1"/>
  <c r="H37" i="2" s="1"/>
  <c r="H38" i="2" s="1"/>
  <c r="L21" i="2"/>
  <c r="N20" i="2"/>
  <c r="E21" i="2"/>
  <c r="I24" i="2"/>
  <c r="AQ113" i="2"/>
  <c r="AL114" i="2"/>
  <c r="AO114" i="2" s="1"/>
  <c r="AP114" i="2" s="1"/>
  <c r="AB112" i="2"/>
  <c r="W113" i="2"/>
  <c r="Z113" i="2" s="1"/>
  <c r="AA113" i="2" s="1"/>
  <c r="J23" i="2" l="1"/>
  <c r="L22" i="2"/>
  <c r="N21" i="2"/>
  <c r="AL115" i="2"/>
  <c r="AO115" i="2" s="1"/>
  <c r="AP115" i="2" s="1"/>
  <c r="AQ114" i="2"/>
  <c r="J24" i="2"/>
  <c r="I25" i="2"/>
  <c r="E22" i="2"/>
  <c r="AB113" i="2"/>
  <c r="W114" i="2"/>
  <c r="Z114" i="2" s="1"/>
  <c r="AA114" i="2" s="1"/>
  <c r="L23" i="2" l="1"/>
  <c r="N22" i="2"/>
  <c r="E23" i="2"/>
  <c r="AQ115" i="2"/>
  <c r="AL116" i="2"/>
  <c r="AO116" i="2" s="1"/>
  <c r="AP116" i="2" s="1"/>
  <c r="J25" i="2"/>
  <c r="I26" i="2"/>
  <c r="AB114" i="2"/>
  <c r="W115" i="2"/>
  <c r="Z115" i="2" s="1"/>
  <c r="AA115" i="2" s="1"/>
  <c r="AQ116" i="2" l="1"/>
  <c r="AL117" i="2"/>
  <c r="AO117" i="2" s="1"/>
  <c r="AP117" i="2" s="1"/>
  <c r="E24" i="2"/>
  <c r="L24" i="2"/>
  <c r="N23" i="2"/>
  <c r="I27" i="2"/>
  <c r="J26" i="2"/>
  <c r="AB115" i="2"/>
  <c r="W116" i="2"/>
  <c r="Z116" i="2" s="1"/>
  <c r="AA116" i="2" s="1"/>
  <c r="E25" i="2" l="1"/>
  <c r="AQ117" i="2"/>
  <c r="AL118" i="2"/>
  <c r="L25" i="2"/>
  <c r="N24" i="2"/>
  <c r="J27" i="2"/>
  <c r="I28" i="2"/>
  <c r="W117" i="2"/>
  <c r="Z117" i="2" s="1"/>
  <c r="AA117" i="2" s="1"/>
  <c r="AB116" i="2"/>
  <c r="L26" i="2" l="1"/>
  <c r="N25" i="2"/>
  <c r="AO118" i="2"/>
  <c r="AP118" i="2" s="1"/>
  <c r="AM118" i="2"/>
  <c r="AK411" i="2" s="1"/>
  <c r="E26" i="2"/>
  <c r="I29" i="2"/>
  <c r="J28" i="2"/>
  <c r="W118" i="2"/>
  <c r="AB117" i="2"/>
  <c r="E27" i="2" l="1"/>
  <c r="I30" i="2"/>
  <c r="J29" i="2"/>
  <c r="AQ118" i="2"/>
  <c r="AL119" i="2"/>
  <c r="L27" i="2"/>
  <c r="N26" i="2"/>
  <c r="Z118" i="2"/>
  <c r="AA118" i="2" s="1"/>
  <c r="X118" i="2"/>
  <c r="V411" i="2" s="1"/>
  <c r="D13" i="2" s="1"/>
  <c r="F13" i="2" s="1"/>
  <c r="K13" i="2" s="1"/>
  <c r="E13" i="3" l="1"/>
  <c r="C13" i="3"/>
  <c r="P13" i="3"/>
  <c r="H13" i="3"/>
  <c r="M13" i="3"/>
  <c r="B13" i="3"/>
  <c r="A13" i="3"/>
  <c r="F13" i="3"/>
  <c r="J13" i="3"/>
  <c r="N13" i="3"/>
  <c r="O13" i="2"/>
  <c r="G13" i="3"/>
  <c r="K13" i="3"/>
  <c r="I13" i="3"/>
  <c r="D13" i="3"/>
  <c r="L13" i="3"/>
  <c r="J30" i="2"/>
  <c r="I31" i="2"/>
  <c r="L28" i="2"/>
  <c r="N27" i="2"/>
  <c r="AO119" i="2"/>
  <c r="AP119" i="2" s="1"/>
  <c r="E28" i="2"/>
  <c r="W119" i="2"/>
  <c r="AB118" i="2"/>
  <c r="O13" i="3" l="1"/>
  <c r="S13" i="3" s="1"/>
  <c r="Q13" i="2"/>
  <c r="Q13" i="3" s="1"/>
  <c r="L29" i="2"/>
  <c r="N28" i="2"/>
  <c r="AL120" i="2"/>
  <c r="AQ119" i="2"/>
  <c r="J31" i="2"/>
  <c r="I32" i="2"/>
  <c r="E29" i="2"/>
  <c r="Z119" i="2"/>
  <c r="AA119" i="2" s="1"/>
  <c r="E30" i="2" l="1"/>
  <c r="I33" i="2"/>
  <c r="J32" i="2"/>
  <c r="AO120" i="2"/>
  <c r="AP120" i="2" s="1"/>
  <c r="L30" i="2"/>
  <c r="N29" i="2"/>
  <c r="AB119" i="2"/>
  <c r="W120" i="2"/>
  <c r="L31" i="2" l="1"/>
  <c r="N30" i="2"/>
  <c r="J33" i="2"/>
  <c r="I34" i="2"/>
  <c r="E31" i="2"/>
  <c r="AL121" i="2"/>
  <c r="AQ120" i="2"/>
  <c r="Z120" i="2"/>
  <c r="AA120" i="2" s="1"/>
  <c r="E32" i="2" l="1"/>
  <c r="J34" i="2"/>
  <c r="I35" i="2"/>
  <c r="L32" i="2"/>
  <c r="N31" i="2"/>
  <c r="AO121" i="2"/>
  <c r="AP121" i="2" s="1"/>
  <c r="AB120" i="2"/>
  <c r="W121" i="2"/>
  <c r="I36" i="2" l="1"/>
  <c r="J35" i="2"/>
  <c r="E33" i="2"/>
  <c r="L33" i="2"/>
  <c r="N32" i="2"/>
  <c r="AQ121" i="2"/>
  <c r="AL122" i="2"/>
  <c r="Z121" i="2"/>
  <c r="AA121" i="2" s="1"/>
  <c r="L34" i="2" l="1"/>
  <c r="N33" i="2"/>
  <c r="AO122" i="2"/>
  <c r="AP122" i="2" s="1"/>
  <c r="E34" i="2"/>
  <c r="J36" i="2"/>
  <c r="I37" i="2"/>
  <c r="J37" i="2" s="1"/>
  <c r="AB121" i="2"/>
  <c r="W122" i="2"/>
  <c r="J38" i="2" l="1"/>
  <c r="AQ122" i="2"/>
  <c r="AL123" i="2"/>
  <c r="E35" i="2"/>
  <c r="L35" i="2"/>
  <c r="N34" i="2"/>
  <c r="Z122" i="2"/>
  <c r="AA122" i="2" s="1"/>
  <c r="E36" i="2" l="1"/>
  <c r="AO123" i="2"/>
  <c r="AP123" i="2" s="1"/>
  <c r="L36" i="2"/>
  <c r="N35" i="2"/>
  <c r="AB122" i="2"/>
  <c r="W123" i="2"/>
  <c r="AL124" i="2" l="1"/>
  <c r="AO124" i="2" s="1"/>
  <c r="AP124" i="2" s="1"/>
  <c r="AQ123" i="2"/>
  <c r="E37" i="2"/>
  <c r="L37" i="2"/>
  <c r="N36" i="2"/>
  <c r="Z123" i="2"/>
  <c r="AA123" i="2" s="1"/>
  <c r="N37" i="2" l="1"/>
  <c r="N38" i="2" s="1"/>
  <c r="L38" i="2"/>
  <c r="AL125" i="2"/>
  <c r="AO125" i="2" s="1"/>
  <c r="AP125" i="2" s="1"/>
  <c r="AQ124" i="2"/>
  <c r="W124" i="2"/>
  <c r="Z124" i="2" s="1"/>
  <c r="AA124" i="2" s="1"/>
  <c r="AB123" i="2"/>
  <c r="AQ125" i="2" l="1"/>
  <c r="AL126" i="2"/>
  <c r="AO126" i="2" s="1"/>
  <c r="AP126" i="2" s="1"/>
  <c r="W125" i="2"/>
  <c r="Z125" i="2" s="1"/>
  <c r="AA125" i="2" s="1"/>
  <c r="AB124" i="2"/>
  <c r="AQ126" i="2" l="1"/>
  <c r="AL127" i="2"/>
  <c r="AO127" i="2" s="1"/>
  <c r="AP127" i="2" s="1"/>
  <c r="AB125" i="2"/>
  <c r="W126" i="2"/>
  <c r="Z126" i="2" s="1"/>
  <c r="AA126" i="2" s="1"/>
  <c r="AQ127" i="2" l="1"/>
  <c r="AL128" i="2"/>
  <c r="AO128" i="2" s="1"/>
  <c r="AP128" i="2" s="1"/>
  <c r="AB126" i="2"/>
  <c r="W127" i="2"/>
  <c r="Z127" i="2" s="1"/>
  <c r="AA127" i="2" s="1"/>
  <c r="AL129" i="2" l="1"/>
  <c r="AO129" i="2" s="1"/>
  <c r="AP129" i="2" s="1"/>
  <c r="AQ128" i="2"/>
  <c r="AB127" i="2"/>
  <c r="W128" i="2"/>
  <c r="Z128" i="2" s="1"/>
  <c r="AA128" i="2" s="1"/>
  <c r="AQ129" i="2" l="1"/>
  <c r="AL130" i="2"/>
  <c r="AB128" i="2"/>
  <c r="W129" i="2"/>
  <c r="Z129" i="2" s="1"/>
  <c r="AA129" i="2" s="1"/>
  <c r="AO130" i="2" l="1"/>
  <c r="AP130" i="2" s="1"/>
  <c r="AM130" i="2"/>
  <c r="W130" i="2"/>
  <c r="AB129" i="2"/>
  <c r="AK412" i="2" l="1"/>
  <c r="AN130" i="2"/>
  <c r="AL412" i="2" s="1"/>
  <c r="AL131" i="2"/>
  <c r="AQ130" i="2"/>
  <c r="Z130" i="2"/>
  <c r="AA130" i="2" s="1"/>
  <c r="X130" i="2"/>
  <c r="AO131" i="2" l="1"/>
  <c r="AP131" i="2" s="1"/>
  <c r="V412" i="2"/>
  <c r="Y130" i="2"/>
  <c r="W412" i="2" s="1"/>
  <c r="C14" i="2" s="1"/>
  <c r="AB130" i="2"/>
  <c r="W131" i="2"/>
  <c r="D14" i="2" l="1"/>
  <c r="F14" i="2" s="1"/>
  <c r="AL132" i="2"/>
  <c r="AQ131" i="2"/>
  <c r="Z131" i="2"/>
  <c r="AA131" i="2" s="1"/>
  <c r="K14" i="2" l="1"/>
  <c r="AO132" i="2"/>
  <c r="AP132" i="2" s="1"/>
  <c r="AB131" i="2"/>
  <c r="W132" i="2"/>
  <c r="D14" i="3" l="1"/>
  <c r="K14" i="3"/>
  <c r="M14" i="3"/>
  <c r="I14" i="3"/>
  <c r="C14" i="3"/>
  <c r="O14" i="2"/>
  <c r="F14" i="3"/>
  <c r="B14" i="3"/>
  <c r="N14" i="3"/>
  <c r="A14" i="3"/>
  <c r="E14" i="3"/>
  <c r="J14" i="3"/>
  <c r="H14" i="3"/>
  <c r="L14" i="3"/>
  <c r="P14" i="3"/>
  <c r="G14" i="3"/>
  <c r="AL133" i="2"/>
  <c r="AQ132" i="2"/>
  <c r="Z132" i="2"/>
  <c r="AA132" i="2" s="1"/>
  <c r="Q14" i="2" l="1"/>
  <c r="O14" i="3"/>
  <c r="AO133" i="2"/>
  <c r="AP133" i="2" s="1"/>
  <c r="W133" i="2"/>
  <c r="AB132" i="2"/>
  <c r="S14" i="3" l="1"/>
  <c r="Q14" i="3"/>
  <c r="AQ133" i="2"/>
  <c r="AL134" i="2"/>
  <c r="Z133" i="2"/>
  <c r="AA133" i="2" s="1"/>
  <c r="AO134" i="2" l="1"/>
  <c r="AP134" i="2" s="1"/>
  <c r="W134" i="2"/>
  <c r="AB133" i="2"/>
  <c r="AL135" i="2" l="1"/>
  <c r="AQ134" i="2"/>
  <c r="Z134" i="2"/>
  <c r="AA134" i="2" s="1"/>
  <c r="AO135" i="2" l="1"/>
  <c r="AP135" i="2" s="1"/>
  <c r="AB134" i="2"/>
  <c r="W135" i="2"/>
  <c r="AL136" i="2" l="1"/>
  <c r="AO136" i="2" s="1"/>
  <c r="AP136" i="2" s="1"/>
  <c r="AQ135" i="2"/>
  <c r="Z135" i="2"/>
  <c r="AA135" i="2" s="1"/>
  <c r="AL137" i="2" l="1"/>
  <c r="AO137" i="2" s="1"/>
  <c r="AP137" i="2" s="1"/>
  <c r="AQ136" i="2"/>
  <c r="AB135" i="2"/>
  <c r="W136" i="2"/>
  <c r="Z136" i="2" s="1"/>
  <c r="AA136" i="2" s="1"/>
  <c r="AQ137" i="2" l="1"/>
  <c r="AL138" i="2"/>
  <c r="AO138" i="2" s="1"/>
  <c r="AP138" i="2" s="1"/>
  <c r="AB136" i="2"/>
  <c r="W137" i="2"/>
  <c r="Z137" i="2" s="1"/>
  <c r="AA137" i="2" s="1"/>
  <c r="AL139" i="2" l="1"/>
  <c r="AO139" i="2" s="1"/>
  <c r="AP139" i="2" s="1"/>
  <c r="AQ138" i="2"/>
  <c r="AB137" i="2"/>
  <c r="W138" i="2"/>
  <c r="Z138" i="2" s="1"/>
  <c r="AA138" i="2" s="1"/>
  <c r="AL140" i="2" l="1"/>
  <c r="AO140" i="2" s="1"/>
  <c r="AP140" i="2" s="1"/>
  <c r="AQ139" i="2"/>
  <c r="W139" i="2"/>
  <c r="Z139" i="2" s="1"/>
  <c r="AA139" i="2" s="1"/>
  <c r="AB138" i="2"/>
  <c r="AL141" i="2" l="1"/>
  <c r="AO141" i="2" s="1"/>
  <c r="AP141" i="2" s="1"/>
  <c r="AQ140" i="2"/>
  <c r="W140" i="2"/>
  <c r="Z140" i="2" s="1"/>
  <c r="AA140" i="2" s="1"/>
  <c r="AB139" i="2"/>
  <c r="AQ141" i="2" l="1"/>
  <c r="AL142" i="2"/>
  <c r="AB140" i="2"/>
  <c r="W141" i="2"/>
  <c r="Z141" i="2" s="1"/>
  <c r="AA141" i="2" s="1"/>
  <c r="AO142" i="2" l="1"/>
  <c r="AP142" i="2" s="1"/>
  <c r="AM142" i="2"/>
  <c r="AB141" i="2"/>
  <c r="W142" i="2"/>
  <c r="AK413" i="2" l="1"/>
  <c r="AN142" i="2"/>
  <c r="AL413" i="2" s="1"/>
  <c r="AL143" i="2"/>
  <c r="AQ142" i="2"/>
  <c r="Z142" i="2"/>
  <c r="AA142" i="2" s="1"/>
  <c r="X142" i="2"/>
  <c r="AO143" i="2" l="1"/>
  <c r="AP143" i="2" s="1"/>
  <c r="V413" i="2"/>
  <c r="Y142" i="2"/>
  <c r="W413" i="2" s="1"/>
  <c r="C15" i="2" s="1"/>
  <c r="AB142" i="2"/>
  <c r="W143" i="2"/>
  <c r="D15" i="2" l="1"/>
  <c r="F15" i="2" s="1"/>
  <c r="K15" i="2" s="1"/>
  <c r="AL144" i="2"/>
  <c r="AQ143" i="2"/>
  <c r="Z143" i="2"/>
  <c r="AA143" i="2" s="1"/>
  <c r="B15" i="3" l="1"/>
  <c r="G15" i="3"/>
  <c r="L15" i="3"/>
  <c r="K15" i="3"/>
  <c r="C15" i="3"/>
  <c r="A15" i="3"/>
  <c r="F15" i="3"/>
  <c r="M15" i="3"/>
  <c r="P15" i="3"/>
  <c r="J15" i="3"/>
  <c r="O15" i="2"/>
  <c r="H15" i="3"/>
  <c r="D15" i="3"/>
  <c r="N15" i="3"/>
  <c r="I15" i="3"/>
  <c r="E15" i="3"/>
  <c r="AO144" i="2"/>
  <c r="AP144" i="2" s="1"/>
  <c r="AB143" i="2"/>
  <c r="W144" i="2"/>
  <c r="Q15" i="2" l="1"/>
  <c r="O15" i="3"/>
  <c r="AQ144" i="2"/>
  <c r="AL145" i="2"/>
  <c r="Z144" i="2"/>
  <c r="AA144" i="2" s="1"/>
  <c r="S15" i="3" l="1"/>
  <c r="Q15" i="3"/>
  <c r="AO145" i="2"/>
  <c r="AP145" i="2" s="1"/>
  <c r="AB144" i="2"/>
  <c r="W145" i="2"/>
  <c r="AL146" i="2" l="1"/>
  <c r="AQ145" i="2"/>
  <c r="Z145" i="2"/>
  <c r="AA145" i="2" s="1"/>
  <c r="AO146" i="2" l="1"/>
  <c r="AP146" i="2" s="1"/>
  <c r="AB145" i="2"/>
  <c r="W146" i="2"/>
  <c r="AQ146" i="2" l="1"/>
  <c r="AL147" i="2"/>
  <c r="Z146" i="2"/>
  <c r="AA146" i="2" s="1"/>
  <c r="AO147" i="2" l="1"/>
  <c r="AP147" i="2" s="1"/>
  <c r="AB146" i="2"/>
  <c r="W147" i="2"/>
  <c r="AL148" i="2" l="1"/>
  <c r="AO148" i="2" s="1"/>
  <c r="AP148" i="2" s="1"/>
  <c r="AQ147" i="2"/>
  <c r="Z147" i="2"/>
  <c r="AA147" i="2" s="1"/>
  <c r="AQ148" i="2" l="1"/>
  <c r="AL149" i="2"/>
  <c r="AO149" i="2" s="1"/>
  <c r="AP149" i="2" s="1"/>
  <c r="W148" i="2"/>
  <c r="Z148" i="2" s="1"/>
  <c r="AA148" i="2" s="1"/>
  <c r="AB147" i="2"/>
  <c r="AL150" i="2" l="1"/>
  <c r="AO150" i="2" s="1"/>
  <c r="AP150" i="2" s="1"/>
  <c r="AQ149" i="2"/>
  <c r="W149" i="2"/>
  <c r="Z149" i="2" s="1"/>
  <c r="AA149" i="2" s="1"/>
  <c r="AB148" i="2"/>
  <c r="AQ150" i="2" l="1"/>
  <c r="AL151" i="2"/>
  <c r="AO151" i="2" s="1"/>
  <c r="AP151" i="2" s="1"/>
  <c r="AB149" i="2"/>
  <c r="W150" i="2"/>
  <c r="Z150" i="2" s="1"/>
  <c r="AA150" i="2" s="1"/>
  <c r="AL152" i="2" l="1"/>
  <c r="AO152" i="2" s="1"/>
  <c r="AP152" i="2" s="1"/>
  <c r="AQ151" i="2"/>
  <c r="AB150" i="2"/>
  <c r="W151" i="2"/>
  <c r="Z151" i="2" s="1"/>
  <c r="AA151" i="2" s="1"/>
  <c r="AQ152" i="2" l="1"/>
  <c r="AL153" i="2"/>
  <c r="AO153" i="2" s="1"/>
  <c r="AP153" i="2" s="1"/>
  <c r="AB151" i="2"/>
  <c r="W152" i="2"/>
  <c r="Z152" i="2" s="1"/>
  <c r="AA152" i="2" s="1"/>
  <c r="AL154" i="2" l="1"/>
  <c r="AQ153" i="2"/>
  <c r="AB152" i="2"/>
  <c r="W153" i="2"/>
  <c r="Z153" i="2" s="1"/>
  <c r="AA153" i="2" s="1"/>
  <c r="AO154" i="2" l="1"/>
  <c r="AP154" i="2" s="1"/>
  <c r="AM154" i="2"/>
  <c r="W154" i="2"/>
  <c r="AB153" i="2"/>
  <c r="AN154" i="2" l="1"/>
  <c r="AL414" i="2" s="1"/>
  <c r="AK414" i="2"/>
  <c r="AL155" i="2"/>
  <c r="AQ154" i="2"/>
  <c r="Z154" i="2"/>
  <c r="AA154" i="2" s="1"/>
  <c r="X154" i="2"/>
  <c r="AO155" i="2" l="1"/>
  <c r="AP155" i="2" s="1"/>
  <c r="V414" i="2"/>
  <c r="Y154" i="2"/>
  <c r="W414" i="2" s="1"/>
  <c r="C16" i="2" s="1"/>
  <c r="AB154" i="2"/>
  <c r="W155" i="2"/>
  <c r="D16" i="2" l="1"/>
  <c r="F16" i="2" s="1"/>
  <c r="AL156" i="2"/>
  <c r="AQ155" i="2"/>
  <c r="Z155" i="2"/>
  <c r="AA155" i="2" s="1"/>
  <c r="K16" i="2" l="1"/>
  <c r="AO156" i="2"/>
  <c r="AP156" i="2" s="1"/>
  <c r="AB155" i="2"/>
  <c r="W156" i="2"/>
  <c r="A16" i="3" l="1"/>
  <c r="H16" i="3"/>
  <c r="G16" i="3"/>
  <c r="K16" i="3"/>
  <c r="E16" i="3"/>
  <c r="J16" i="3"/>
  <c r="N16" i="3"/>
  <c r="F16" i="3"/>
  <c r="B16" i="3"/>
  <c r="L16" i="3"/>
  <c r="O16" i="2"/>
  <c r="M16" i="3"/>
  <c r="P16" i="3"/>
  <c r="I16" i="3"/>
  <c r="D16" i="3"/>
  <c r="C16" i="3"/>
  <c r="AQ156" i="2"/>
  <c r="AL157" i="2"/>
  <c r="Z156" i="2"/>
  <c r="AA156" i="2" s="1"/>
  <c r="O16" i="3" l="1"/>
  <c r="Q16" i="2"/>
  <c r="AO157" i="2"/>
  <c r="AP157" i="2" s="1"/>
  <c r="W157" i="2"/>
  <c r="AB156" i="2"/>
  <c r="Q16" i="3" l="1"/>
  <c r="S16" i="3"/>
  <c r="AL158" i="2"/>
  <c r="AQ157" i="2"/>
  <c r="Z157" i="2"/>
  <c r="AA157" i="2" s="1"/>
  <c r="AO158" i="2" l="1"/>
  <c r="AP158" i="2" s="1"/>
  <c r="W158" i="2"/>
  <c r="AB157" i="2"/>
  <c r="AL159" i="2" l="1"/>
  <c r="AQ158" i="2"/>
  <c r="Z158" i="2"/>
  <c r="AA158" i="2" s="1"/>
  <c r="AO159" i="2" l="1"/>
  <c r="AP159" i="2" s="1"/>
  <c r="AB158" i="2"/>
  <c r="W159" i="2"/>
  <c r="AQ159" i="2" l="1"/>
  <c r="AL160" i="2"/>
  <c r="AO160" i="2" s="1"/>
  <c r="AP160" i="2" s="1"/>
  <c r="Z159" i="2"/>
  <c r="AA159" i="2" s="1"/>
  <c r="AQ160" i="2" l="1"/>
  <c r="AL161" i="2"/>
  <c r="AO161" i="2" s="1"/>
  <c r="AP161" i="2" s="1"/>
  <c r="AB159" i="2"/>
  <c r="W160" i="2"/>
  <c r="Z160" i="2" s="1"/>
  <c r="AA160" i="2" s="1"/>
  <c r="AL162" i="2" l="1"/>
  <c r="AO162" i="2" s="1"/>
  <c r="AP162" i="2" s="1"/>
  <c r="AQ161" i="2"/>
  <c r="AB160" i="2"/>
  <c r="W161" i="2"/>
  <c r="Z161" i="2" s="1"/>
  <c r="AA161" i="2" s="1"/>
  <c r="AL163" i="2" l="1"/>
  <c r="AO163" i="2" s="1"/>
  <c r="AP163" i="2" s="1"/>
  <c r="AQ162" i="2"/>
  <c r="AB161" i="2"/>
  <c r="W162" i="2"/>
  <c r="Z162" i="2" s="1"/>
  <c r="AA162" i="2" s="1"/>
  <c r="AQ163" i="2" l="1"/>
  <c r="AL164" i="2"/>
  <c r="AO164" i="2" s="1"/>
  <c r="AP164" i="2" s="1"/>
  <c r="W163" i="2"/>
  <c r="Z163" i="2" s="1"/>
  <c r="AA163" i="2" s="1"/>
  <c r="AB162" i="2"/>
  <c r="AQ164" i="2" l="1"/>
  <c r="AL165" i="2"/>
  <c r="AO165" i="2" s="1"/>
  <c r="AP165" i="2" s="1"/>
  <c r="W164" i="2"/>
  <c r="Z164" i="2" s="1"/>
  <c r="AA164" i="2" s="1"/>
  <c r="AB163" i="2"/>
  <c r="AL166" i="2" l="1"/>
  <c r="AQ165" i="2"/>
  <c r="AB164" i="2"/>
  <c r="W165" i="2"/>
  <c r="Z165" i="2" s="1"/>
  <c r="AA165" i="2" s="1"/>
  <c r="AO166" i="2" l="1"/>
  <c r="AP166" i="2" s="1"/>
  <c r="AM166" i="2"/>
  <c r="AB165" i="2"/>
  <c r="W166" i="2"/>
  <c r="AK415" i="2" l="1"/>
  <c r="AN166" i="2"/>
  <c r="AL415" i="2" s="1"/>
  <c r="AL167" i="2"/>
  <c r="AQ166" i="2"/>
  <c r="Z166" i="2"/>
  <c r="AA166" i="2" s="1"/>
  <c r="X166" i="2"/>
  <c r="AO167" i="2" l="1"/>
  <c r="AP167" i="2" s="1"/>
  <c r="V415" i="2"/>
  <c r="Y166" i="2"/>
  <c r="W415" i="2" s="1"/>
  <c r="C17" i="2" s="1"/>
  <c r="AB166" i="2"/>
  <c r="W167" i="2"/>
  <c r="D17" i="2" l="1"/>
  <c r="F17" i="2" s="1"/>
  <c r="K17" i="2" s="1"/>
  <c r="AL168" i="2"/>
  <c r="AQ167" i="2"/>
  <c r="Z167" i="2"/>
  <c r="AA167" i="2" s="1"/>
  <c r="D17" i="3" l="1"/>
  <c r="C17" i="3"/>
  <c r="K17" i="3"/>
  <c r="H17" i="3"/>
  <c r="F17" i="3"/>
  <c r="N17" i="3"/>
  <c r="L17" i="3"/>
  <c r="G17" i="3"/>
  <c r="E17" i="3"/>
  <c r="A17" i="3"/>
  <c r="B17" i="3"/>
  <c r="M17" i="3"/>
  <c r="P17" i="3"/>
  <c r="O17" i="2"/>
  <c r="O17" i="3" s="1"/>
  <c r="I17" i="3"/>
  <c r="J17" i="3"/>
  <c r="AO168" i="2"/>
  <c r="AP168" i="2" s="1"/>
  <c r="AB167" i="2"/>
  <c r="W168" i="2"/>
  <c r="S17" i="3" l="1"/>
  <c r="Q17" i="2"/>
  <c r="AL169" i="2"/>
  <c r="AQ168" i="2"/>
  <c r="Z168" i="2"/>
  <c r="AA168" i="2" s="1"/>
  <c r="Q17" i="3" l="1"/>
  <c r="AO169" i="2"/>
  <c r="AP169" i="2" s="1"/>
  <c r="AB168" i="2"/>
  <c r="W169" i="2"/>
  <c r="AL170" i="2" l="1"/>
  <c r="AQ169" i="2"/>
  <c r="Z169" i="2"/>
  <c r="AA169" i="2" s="1"/>
  <c r="AO170" i="2" l="1"/>
  <c r="AP170" i="2" s="1"/>
  <c r="AB169" i="2"/>
  <c r="W170" i="2"/>
  <c r="AL171" i="2" l="1"/>
  <c r="AQ170" i="2"/>
  <c r="Z170" i="2"/>
  <c r="AA170" i="2" s="1"/>
  <c r="AO171" i="2" l="1"/>
  <c r="AP171" i="2" s="1"/>
  <c r="AB170" i="2"/>
  <c r="W171" i="2"/>
  <c r="AQ171" i="2" l="1"/>
  <c r="AL172" i="2"/>
  <c r="AO172" i="2" s="1"/>
  <c r="AP172" i="2" s="1"/>
  <c r="Z171" i="2"/>
  <c r="AA171" i="2" s="1"/>
  <c r="AL173" i="2" l="1"/>
  <c r="AO173" i="2" s="1"/>
  <c r="AP173" i="2" s="1"/>
  <c r="AQ172" i="2"/>
  <c r="W172" i="2"/>
  <c r="Z172" i="2" s="1"/>
  <c r="AA172" i="2" s="1"/>
  <c r="AB171" i="2"/>
  <c r="AL174" i="2" l="1"/>
  <c r="AO174" i="2" s="1"/>
  <c r="AP174" i="2" s="1"/>
  <c r="AQ173" i="2"/>
  <c r="W173" i="2"/>
  <c r="Z173" i="2" s="1"/>
  <c r="AA173" i="2" s="1"/>
  <c r="AB172" i="2"/>
  <c r="AL175" i="2" l="1"/>
  <c r="AO175" i="2" s="1"/>
  <c r="AP175" i="2" s="1"/>
  <c r="AQ174" i="2"/>
  <c r="AB173" i="2"/>
  <c r="W174" i="2"/>
  <c r="Z174" i="2" s="1"/>
  <c r="AA174" i="2" s="1"/>
  <c r="AQ175" i="2" l="1"/>
  <c r="AB174" i="2"/>
  <c r="W175" i="2"/>
  <c r="Z175" i="2" s="1"/>
  <c r="AA175" i="2" s="1"/>
  <c r="AB175" i="2" l="1"/>
  <c r="W176" i="2"/>
  <c r="Z176" i="2" s="1"/>
  <c r="AA176" i="2" s="1"/>
  <c r="AB176" i="2" l="1"/>
  <c r="W177" i="2"/>
  <c r="Z177" i="2" s="1"/>
  <c r="AA177" i="2" s="1"/>
  <c r="W178" i="2" l="1"/>
  <c r="AB177" i="2"/>
  <c r="Z178" i="2" l="1"/>
  <c r="AA178" i="2" s="1"/>
  <c r="X178" i="2"/>
  <c r="V416" i="2" l="1"/>
  <c r="Y178" i="2"/>
  <c r="W416" i="2" s="1"/>
  <c r="C18" i="2" s="1"/>
  <c r="AB178" i="2"/>
  <c r="W179" i="2"/>
  <c r="D18" i="2" l="1"/>
  <c r="F18" i="2" s="1"/>
  <c r="K18" i="2" s="1"/>
  <c r="Z179" i="2"/>
  <c r="AA179" i="2" s="1"/>
  <c r="J18" i="3" l="1"/>
  <c r="A18" i="3"/>
  <c r="M18" i="3"/>
  <c r="E18" i="3"/>
  <c r="G18" i="3"/>
  <c r="O18" i="2"/>
  <c r="O18" i="3" s="1"/>
  <c r="N18" i="3"/>
  <c r="I18" i="3"/>
  <c r="D18" i="3"/>
  <c r="L18" i="3"/>
  <c r="C18" i="3"/>
  <c r="P18" i="3"/>
  <c r="H18" i="3"/>
  <c r="K18" i="3"/>
  <c r="F18" i="3"/>
  <c r="B18" i="3"/>
  <c r="AB179" i="2"/>
  <c r="W180" i="2"/>
  <c r="S18" i="3" l="1"/>
  <c r="Q18" i="2"/>
  <c r="Z180" i="2"/>
  <c r="AA180" i="2" s="1"/>
  <c r="Q18" i="3" l="1"/>
  <c r="W181" i="2"/>
  <c r="AB180" i="2"/>
  <c r="Z181" i="2" l="1"/>
  <c r="AA181" i="2" s="1"/>
  <c r="W182" i="2" l="1"/>
  <c r="AB181" i="2"/>
  <c r="Z182" i="2" l="1"/>
  <c r="AA182" i="2" s="1"/>
  <c r="AB182" i="2" l="1"/>
  <c r="W183" i="2"/>
  <c r="Z183" i="2" l="1"/>
  <c r="AA183" i="2" s="1"/>
  <c r="AB183" i="2" l="1"/>
  <c r="W184" i="2"/>
  <c r="Z184" i="2" s="1"/>
  <c r="AA184" i="2" s="1"/>
  <c r="AB184" i="2" l="1"/>
  <c r="W185" i="2"/>
  <c r="Z185" i="2" s="1"/>
  <c r="AA185" i="2" s="1"/>
  <c r="AB185" i="2" l="1"/>
  <c r="W186" i="2"/>
  <c r="Z186" i="2" s="1"/>
  <c r="AA186" i="2" s="1"/>
  <c r="W187" i="2" l="1"/>
  <c r="Z187" i="2" s="1"/>
  <c r="AA187" i="2" s="1"/>
  <c r="AB186" i="2"/>
  <c r="W188" i="2" l="1"/>
  <c r="Z188" i="2" s="1"/>
  <c r="AA188" i="2" s="1"/>
  <c r="AB187" i="2"/>
  <c r="AB188" i="2" l="1"/>
  <c r="W189" i="2"/>
  <c r="Z189" i="2" s="1"/>
  <c r="AA189" i="2" s="1"/>
  <c r="AB189" i="2" l="1"/>
  <c r="W190" i="2"/>
  <c r="Z190" i="2" l="1"/>
  <c r="AA190" i="2" s="1"/>
  <c r="X190" i="2"/>
  <c r="Y190" i="2" l="1"/>
  <c r="W417" i="2" s="1"/>
  <c r="C19" i="2" s="1"/>
  <c r="V417" i="2"/>
  <c r="D19" i="2" s="1"/>
  <c r="AB190" i="2"/>
  <c r="W191" i="2"/>
  <c r="F19" i="2" l="1"/>
  <c r="K19" i="2" s="1"/>
  <c r="Z191" i="2"/>
  <c r="AA191" i="2" s="1"/>
  <c r="P19" i="3" l="1"/>
  <c r="D19" i="3"/>
  <c r="G19" i="3"/>
  <c r="K19" i="3"/>
  <c r="O19" i="2"/>
  <c r="Q19" i="2" s="1"/>
  <c r="Q19" i="3" s="1"/>
  <c r="F19" i="3"/>
  <c r="C19" i="3"/>
  <c r="L19" i="3"/>
  <c r="M19" i="3"/>
  <c r="A19" i="3"/>
  <c r="H19" i="3"/>
  <c r="N19" i="3"/>
  <c r="I19" i="3"/>
  <c r="B19" i="3"/>
  <c r="J19" i="3"/>
  <c r="E19" i="3"/>
  <c r="AB191" i="2"/>
  <c r="W192" i="2"/>
  <c r="O19" i="3" l="1"/>
  <c r="S19" i="3" s="1"/>
  <c r="Z192" i="2"/>
  <c r="AA192" i="2" s="1"/>
  <c r="AB192" i="2" l="1"/>
  <c r="W193" i="2"/>
  <c r="Z193" i="2" l="1"/>
  <c r="AA193" i="2" s="1"/>
  <c r="AB193" i="2" l="1"/>
  <c r="AF67" i="2" l="1"/>
  <c r="AF66" i="2" s="1"/>
  <c r="W194" i="2" l="1"/>
  <c r="Z194" i="2" l="1"/>
  <c r="AA194" i="2" s="1"/>
  <c r="W195" i="2" l="1"/>
  <c r="AB194" i="2"/>
  <c r="Z195" i="2" l="1"/>
  <c r="AA195" i="2" s="1"/>
  <c r="W196" i="2" l="1"/>
  <c r="AB195" i="2"/>
  <c r="Z196" i="2" l="1"/>
  <c r="AA196" i="2" s="1"/>
  <c r="AB196" i="2" l="1"/>
  <c r="W197" i="2"/>
  <c r="Z197" i="2" l="1"/>
  <c r="AA197" i="2" s="1"/>
  <c r="AB197" i="2" l="1"/>
  <c r="W198" i="2"/>
  <c r="Z198" i="2" l="1"/>
  <c r="AA198" i="2" s="1"/>
  <c r="AB198" i="2" l="1"/>
  <c r="W199" i="2"/>
  <c r="Z199" i="2" s="1"/>
  <c r="AA199" i="2" s="1"/>
  <c r="AB199" i="2" l="1"/>
  <c r="W200" i="2"/>
  <c r="Z200" i="2" s="1"/>
  <c r="AA200" i="2" s="1"/>
  <c r="W201" i="2" l="1"/>
  <c r="Z201" i="2" s="1"/>
  <c r="AA201" i="2" s="1"/>
  <c r="AB200" i="2"/>
  <c r="AB201" i="2" l="1"/>
  <c r="W202" i="2"/>
  <c r="Z202" i="2" l="1"/>
  <c r="AA202" i="2" s="1"/>
  <c r="X202" i="2"/>
  <c r="V418" i="2" l="1"/>
  <c r="Y202" i="2"/>
  <c r="W418" i="2" s="1"/>
  <c r="C20" i="2" s="1"/>
  <c r="AB202" i="2"/>
  <c r="W203" i="2"/>
  <c r="D20" i="2" l="1"/>
  <c r="F20" i="2" s="1"/>
  <c r="K20" i="2" s="1"/>
  <c r="D20" i="3" s="1"/>
  <c r="Z203" i="2"/>
  <c r="AA203" i="2" s="1"/>
  <c r="C20" i="3" l="1"/>
  <c r="O20" i="2"/>
  <c r="Q20" i="2" s="1"/>
  <c r="Q20" i="3" s="1"/>
  <c r="G20" i="3"/>
  <c r="H20" i="3"/>
  <c r="A20" i="3"/>
  <c r="E20" i="3"/>
  <c r="B20" i="3"/>
  <c r="P20" i="3"/>
  <c r="L20" i="3"/>
  <c r="J20" i="3"/>
  <c r="M20" i="3"/>
  <c r="N20" i="3"/>
  <c r="K20" i="3"/>
  <c r="F20" i="3"/>
  <c r="I20" i="3"/>
  <c r="W204" i="2"/>
  <c r="AB203" i="2"/>
  <c r="O20" i="3" l="1"/>
  <c r="S20" i="3" s="1"/>
  <c r="Z204" i="2"/>
  <c r="AA204" i="2" s="1"/>
  <c r="AB204" i="2" l="1"/>
  <c r="W205" i="2"/>
  <c r="Z205" i="2" l="1"/>
  <c r="AA205" i="2" s="1"/>
  <c r="AB205" i="2" l="1"/>
  <c r="W206" i="2"/>
  <c r="Z206" i="2" l="1"/>
  <c r="AA206" i="2" s="1"/>
  <c r="AB206" i="2" l="1"/>
  <c r="W207" i="2"/>
  <c r="Z207" i="2" l="1"/>
  <c r="AA207" i="2" s="1"/>
  <c r="W208" i="2" l="1"/>
  <c r="Z208" i="2" s="1"/>
  <c r="AA208" i="2" s="1"/>
  <c r="AB207" i="2"/>
  <c r="AB208" i="2" l="1"/>
  <c r="W209" i="2"/>
  <c r="Z209" i="2" s="1"/>
  <c r="AA209" i="2" s="1"/>
  <c r="AB209" i="2" l="1"/>
  <c r="W210" i="2"/>
  <c r="Z210" i="2" s="1"/>
  <c r="AA210" i="2" s="1"/>
  <c r="AB210" i="2" l="1"/>
  <c r="W211" i="2"/>
  <c r="Z211" i="2" s="1"/>
  <c r="AA211" i="2" s="1"/>
  <c r="AB211" i="2" l="1"/>
  <c r="W212" i="2"/>
  <c r="Z212" i="2" s="1"/>
  <c r="AA212" i="2" s="1"/>
  <c r="W213" i="2" l="1"/>
  <c r="Z213" i="2" s="1"/>
  <c r="AA213" i="2" s="1"/>
  <c r="AB212" i="2"/>
  <c r="W214" i="2" l="1"/>
  <c r="AB213" i="2"/>
  <c r="Z214" i="2" l="1"/>
  <c r="AA214" i="2" s="1"/>
  <c r="X214" i="2"/>
  <c r="Y214" i="2" l="1"/>
  <c r="W419" i="2" s="1"/>
  <c r="C21" i="2" s="1"/>
  <c r="V419" i="2"/>
  <c r="D21" i="2" s="1"/>
  <c r="W215" i="2"/>
  <c r="AB214" i="2"/>
  <c r="F21" i="2" l="1"/>
  <c r="K21" i="2" s="1"/>
  <c r="Z215" i="2"/>
  <c r="AA215" i="2" s="1"/>
  <c r="W216" i="2" l="1"/>
  <c r="AB215" i="2"/>
  <c r="M21" i="3"/>
  <c r="B21" i="3"/>
  <c r="O21" i="2"/>
  <c r="Q21" i="2" s="1"/>
  <c r="Q21" i="3" s="1"/>
  <c r="H21" i="3"/>
  <c r="L21" i="3"/>
  <c r="G21" i="3"/>
  <c r="J21" i="3"/>
  <c r="N21" i="3"/>
  <c r="E21" i="3"/>
  <c r="K21" i="3"/>
  <c r="D21" i="3"/>
  <c r="I21" i="3"/>
  <c r="C21" i="3"/>
  <c r="A21" i="3"/>
  <c r="F21" i="3"/>
  <c r="P21" i="3"/>
  <c r="O21" i="3" l="1"/>
  <c r="S21" i="3" s="1"/>
  <c r="Z216" i="2"/>
  <c r="AA216" i="2" s="1"/>
  <c r="AB216" i="2" l="1"/>
  <c r="W217" i="2"/>
  <c r="Z217" i="2" l="1"/>
  <c r="AA217" i="2" s="1"/>
  <c r="AB217" i="2" l="1"/>
  <c r="W218" i="2"/>
  <c r="Z218" i="2" l="1"/>
  <c r="AA218" i="2" s="1"/>
  <c r="AB218" i="2" l="1"/>
  <c r="W219" i="2"/>
  <c r="Z219" i="2" l="1"/>
  <c r="AA219" i="2" s="1"/>
  <c r="W220" i="2" l="1"/>
  <c r="Z220" i="2" s="1"/>
  <c r="AA220" i="2" s="1"/>
  <c r="AB219" i="2"/>
  <c r="W221" i="2" l="1"/>
  <c r="Z221" i="2" s="1"/>
  <c r="AA221" i="2" s="1"/>
  <c r="AB220" i="2"/>
  <c r="W222" i="2" l="1"/>
  <c r="Z222" i="2" s="1"/>
  <c r="AA222" i="2" s="1"/>
  <c r="AB221" i="2"/>
  <c r="AB222" i="2" l="1"/>
  <c r="W223" i="2"/>
  <c r="Z223" i="2" s="1"/>
  <c r="AA223" i="2" s="1"/>
  <c r="AB223" i="2" l="1"/>
  <c r="W224" i="2"/>
  <c r="Z224" i="2" s="1"/>
  <c r="AA224" i="2" s="1"/>
  <c r="W225" i="2" l="1"/>
  <c r="Z225" i="2" s="1"/>
  <c r="AA225" i="2" s="1"/>
  <c r="AB224" i="2"/>
  <c r="W226" i="2" l="1"/>
  <c r="AB225" i="2"/>
  <c r="Z226" i="2" l="1"/>
  <c r="AA226" i="2" s="1"/>
  <c r="X226" i="2"/>
  <c r="AB226" i="2" l="1"/>
  <c r="W227" i="2"/>
  <c r="V420" i="2"/>
  <c r="Y226" i="2"/>
  <c r="W420" i="2" s="1"/>
  <c r="C22" i="2" s="1"/>
  <c r="D22" i="2" l="1"/>
  <c r="F22" i="2" s="1"/>
  <c r="K22" i="2" s="1"/>
  <c r="Z227" i="2"/>
  <c r="AA227" i="2" s="1"/>
  <c r="W228" i="2" l="1"/>
  <c r="AB227" i="2"/>
  <c r="C22" i="3"/>
  <c r="I22" i="3"/>
  <c r="P22" i="3"/>
  <c r="O22" i="2"/>
  <c r="Q22" i="2" s="1"/>
  <c r="Q22" i="3" s="1"/>
  <c r="K22" i="3"/>
  <c r="A22" i="3"/>
  <c r="E22" i="3"/>
  <c r="N22" i="3"/>
  <c r="M22" i="3"/>
  <c r="B22" i="3"/>
  <c r="J22" i="3"/>
  <c r="H22" i="3"/>
  <c r="G22" i="3"/>
  <c r="D22" i="3"/>
  <c r="L22" i="3"/>
  <c r="F22" i="3"/>
  <c r="O22" i="3" l="1"/>
  <c r="S22" i="3" s="1"/>
  <c r="Z228" i="2"/>
  <c r="AA228" i="2" s="1"/>
  <c r="W229" i="2" l="1"/>
  <c r="AB228" i="2"/>
  <c r="Z229" i="2" l="1"/>
  <c r="AA229" i="2" s="1"/>
  <c r="W230" i="2" l="1"/>
  <c r="AB229" i="2"/>
  <c r="Z230" i="2" l="1"/>
  <c r="AA230" i="2" s="1"/>
  <c r="AB230" i="2" l="1"/>
  <c r="W231" i="2"/>
  <c r="Z231" i="2" l="1"/>
  <c r="AA231" i="2" s="1"/>
  <c r="W232" i="2" l="1"/>
  <c r="Z232" i="2" s="1"/>
  <c r="AA232" i="2" s="1"/>
  <c r="AB231" i="2"/>
  <c r="AB232" i="2" l="1"/>
  <c r="W233" i="2"/>
  <c r="Z233" i="2" s="1"/>
  <c r="AA233" i="2" s="1"/>
  <c r="AB233" i="2" l="1"/>
  <c r="W234" i="2"/>
  <c r="Z234" i="2" s="1"/>
  <c r="AA234" i="2" s="1"/>
  <c r="AB234" i="2" l="1"/>
  <c r="W235" i="2"/>
  <c r="Z235" i="2" s="1"/>
  <c r="AA235" i="2" s="1"/>
  <c r="AB235" i="2" l="1"/>
  <c r="W236" i="2"/>
  <c r="Z236" i="2" s="1"/>
  <c r="AA236" i="2" s="1"/>
  <c r="AB236" i="2" l="1"/>
  <c r="W237" i="2"/>
  <c r="Z237" i="2" s="1"/>
  <c r="AA237" i="2" s="1"/>
  <c r="AB237" i="2" l="1"/>
  <c r="W238" i="2"/>
  <c r="Z238" i="2" l="1"/>
  <c r="AA238" i="2" s="1"/>
  <c r="X238" i="2"/>
  <c r="V421" i="2" l="1"/>
  <c r="Y238" i="2"/>
  <c r="W421" i="2" s="1"/>
  <c r="C23" i="2" s="1"/>
  <c r="AB238" i="2"/>
  <c r="W239" i="2"/>
  <c r="D23" i="2" l="1"/>
  <c r="Z239" i="2"/>
  <c r="AA239" i="2" s="1"/>
  <c r="F23" i="2"/>
  <c r="K23" i="2" s="1"/>
  <c r="B23" i="3" l="1"/>
  <c r="N23" i="3"/>
  <c r="F23" i="3"/>
  <c r="C23" i="3"/>
  <c r="M23" i="3"/>
  <c r="I23" i="3"/>
  <c r="P23" i="3"/>
  <c r="K23" i="3"/>
  <c r="G23" i="3"/>
  <c r="A23" i="3"/>
  <c r="J23" i="3"/>
  <c r="L23" i="3"/>
  <c r="H23" i="3"/>
  <c r="O23" i="2"/>
  <c r="Q23" i="2" s="1"/>
  <c r="Q23" i="3" s="1"/>
  <c r="D23" i="3"/>
  <c r="E23" i="3"/>
  <c r="AB239" i="2"/>
  <c r="W240" i="2"/>
  <c r="O23" i="3" l="1"/>
  <c r="S23" i="3" s="1"/>
  <c r="Z240" i="2"/>
  <c r="AA240" i="2" s="1"/>
  <c r="AB240" i="2" l="1"/>
  <c r="W241" i="2"/>
  <c r="Z241" i="2" l="1"/>
  <c r="AA241" i="2" s="1"/>
  <c r="W242" i="2" l="1"/>
  <c r="AB241" i="2"/>
  <c r="Z242" i="2" l="1"/>
  <c r="AA242" i="2" s="1"/>
  <c r="AB242" i="2" l="1"/>
  <c r="W243" i="2"/>
  <c r="Z243" i="2" l="1"/>
  <c r="AA243" i="2" s="1"/>
  <c r="W244" i="2" l="1"/>
  <c r="Z244" i="2" s="1"/>
  <c r="AA244" i="2" s="1"/>
  <c r="AB243" i="2"/>
  <c r="AB244" i="2" l="1"/>
  <c r="W245" i="2"/>
  <c r="Z245" i="2" s="1"/>
  <c r="AA245" i="2" s="1"/>
  <c r="W246" i="2" l="1"/>
  <c r="Z246" i="2" s="1"/>
  <c r="AA246" i="2" s="1"/>
  <c r="AB245" i="2"/>
  <c r="AB246" i="2" l="1"/>
  <c r="W247" i="2"/>
  <c r="Z247" i="2" s="1"/>
  <c r="AA247" i="2" s="1"/>
  <c r="W248" i="2" l="1"/>
  <c r="Z248" i="2" s="1"/>
  <c r="AA248" i="2" s="1"/>
  <c r="AB247" i="2"/>
  <c r="W249" i="2" l="1"/>
  <c r="Z249" i="2" s="1"/>
  <c r="AA249" i="2" s="1"/>
  <c r="AB248" i="2"/>
  <c r="W250" i="2" l="1"/>
  <c r="AB249" i="2"/>
  <c r="Z250" i="2" l="1"/>
  <c r="AA250" i="2" s="1"/>
  <c r="X250" i="2"/>
  <c r="Y250" i="2" l="1"/>
  <c r="W422" i="2" s="1"/>
  <c r="C24" i="2" s="1"/>
  <c r="V422" i="2"/>
  <c r="D24" i="2" s="1"/>
  <c r="F24" i="2" s="1"/>
  <c r="K24" i="2" s="1"/>
  <c r="AB250" i="2"/>
  <c r="W251" i="2"/>
  <c r="Z251" i="2" l="1"/>
  <c r="AA251" i="2" s="1"/>
  <c r="I24" i="3"/>
  <c r="D24" i="3"/>
  <c r="A24" i="3"/>
  <c r="B24" i="3"/>
  <c r="J24" i="3"/>
  <c r="H24" i="3"/>
  <c r="P24" i="3"/>
  <c r="G24" i="3"/>
  <c r="F24" i="3"/>
  <c r="K24" i="3"/>
  <c r="E24" i="3"/>
  <c r="L24" i="3"/>
  <c r="O24" i="2"/>
  <c r="Q24" i="2" s="1"/>
  <c r="Q24" i="3" s="1"/>
  <c r="N24" i="3"/>
  <c r="C24" i="3"/>
  <c r="M24" i="3"/>
  <c r="O24" i="3"/>
  <c r="S24" i="3" s="1"/>
  <c r="W252" i="2" l="1"/>
  <c r="AB251" i="2"/>
  <c r="Z252" i="2" l="1"/>
  <c r="AA252" i="2" s="1"/>
  <c r="AB252" i="2" l="1"/>
  <c r="W253" i="2"/>
  <c r="Z253" i="2" l="1"/>
  <c r="AA253" i="2" s="1"/>
  <c r="W254" i="2" l="1"/>
  <c r="AB253" i="2"/>
  <c r="Z254" i="2" l="1"/>
  <c r="AA254" i="2" s="1"/>
  <c r="W255" i="2" l="1"/>
  <c r="AB254" i="2"/>
  <c r="Z255" i="2" l="1"/>
  <c r="AA255" i="2" s="1"/>
  <c r="AB255" i="2" l="1"/>
  <c r="W256" i="2"/>
  <c r="Z256" i="2" s="1"/>
  <c r="AA256" i="2" s="1"/>
  <c r="AB256" i="2" l="1"/>
  <c r="W257" i="2"/>
  <c r="Z257" i="2" s="1"/>
  <c r="AA257" i="2" s="1"/>
  <c r="W258" i="2" l="1"/>
  <c r="Z258" i="2" s="1"/>
  <c r="AA258" i="2" s="1"/>
  <c r="AB257" i="2"/>
  <c r="W259" i="2" l="1"/>
  <c r="Z259" i="2" s="1"/>
  <c r="AA259" i="2" s="1"/>
  <c r="AB258" i="2"/>
  <c r="AB259" i="2" l="1"/>
  <c r="W260" i="2"/>
  <c r="Z260" i="2" s="1"/>
  <c r="AA260" i="2" s="1"/>
  <c r="AB260" i="2" l="1"/>
  <c r="W261" i="2"/>
  <c r="Z261" i="2" s="1"/>
  <c r="AA261" i="2" s="1"/>
  <c r="W262" i="2" l="1"/>
  <c r="AB261" i="2"/>
  <c r="Z262" i="2" l="1"/>
  <c r="AA262" i="2" s="1"/>
  <c r="X262" i="2"/>
  <c r="Y262" i="2" l="1"/>
  <c r="W423" i="2" s="1"/>
  <c r="C25" i="2" s="1"/>
  <c r="V423" i="2"/>
  <c r="D25" i="2" s="1"/>
  <c r="W263" i="2"/>
  <c r="AB262" i="2"/>
  <c r="Z263" i="2" l="1"/>
  <c r="AA263" i="2" s="1"/>
  <c r="F25" i="2"/>
  <c r="K25" i="2" s="1"/>
  <c r="J25" i="3" l="1"/>
  <c r="F25" i="3"/>
  <c r="M25" i="3"/>
  <c r="D25" i="3"/>
  <c r="I25" i="3"/>
  <c r="H25" i="3"/>
  <c r="P25" i="3"/>
  <c r="A25" i="3"/>
  <c r="E25" i="3"/>
  <c r="K25" i="3"/>
  <c r="O25" i="2"/>
  <c r="Q25" i="2" s="1"/>
  <c r="Q25" i="3" s="1"/>
  <c r="C25" i="3"/>
  <c r="N25" i="3"/>
  <c r="G25" i="3"/>
  <c r="B25" i="3"/>
  <c r="L25" i="3"/>
  <c r="AB263" i="2"/>
  <c r="W264" i="2"/>
  <c r="O25" i="3" l="1"/>
  <c r="S25" i="3" s="1"/>
  <c r="Z264" i="2"/>
  <c r="AA264" i="2" s="1"/>
  <c r="AB264" i="2" l="1"/>
  <c r="W265" i="2"/>
  <c r="Z265" i="2" l="1"/>
  <c r="AA265" i="2" s="1"/>
  <c r="W266" i="2" l="1"/>
  <c r="AB265" i="2"/>
  <c r="Z266" i="2" l="1"/>
  <c r="AA266" i="2" s="1"/>
  <c r="W267" i="2" l="1"/>
  <c r="AB266" i="2"/>
  <c r="Z267" i="2" l="1"/>
  <c r="AA267" i="2" s="1"/>
  <c r="W268" i="2" l="1"/>
  <c r="Z268" i="2" s="1"/>
  <c r="AA268" i="2" s="1"/>
  <c r="AB267" i="2"/>
  <c r="AB268" i="2" l="1"/>
  <c r="W269" i="2"/>
  <c r="Z269" i="2" s="1"/>
  <c r="AA269" i="2" s="1"/>
  <c r="W270" i="2" l="1"/>
  <c r="Z270" i="2" s="1"/>
  <c r="AA270" i="2" s="1"/>
  <c r="AB269" i="2"/>
  <c r="W271" i="2" l="1"/>
  <c r="Z271" i="2" s="1"/>
  <c r="AA271" i="2" s="1"/>
  <c r="AB270" i="2"/>
  <c r="W272" i="2" l="1"/>
  <c r="Z272" i="2" s="1"/>
  <c r="AA272" i="2" s="1"/>
  <c r="AB271" i="2"/>
  <c r="AB272" i="2" l="1"/>
  <c r="W273" i="2"/>
  <c r="Z273" i="2" s="1"/>
  <c r="AA273" i="2" s="1"/>
  <c r="W274" i="2" l="1"/>
  <c r="AB273" i="2"/>
  <c r="Z274" i="2" l="1"/>
  <c r="AA274" i="2" s="1"/>
  <c r="X274" i="2"/>
  <c r="Y274" i="2" l="1"/>
  <c r="W424" i="2" s="1"/>
  <c r="C26" i="2" s="1"/>
  <c r="V424" i="2"/>
  <c r="D26" i="2" s="1"/>
  <c r="AB274" i="2"/>
  <c r="W275" i="2"/>
  <c r="Z275" i="2" l="1"/>
  <c r="AA275" i="2" s="1"/>
  <c r="F26" i="2"/>
  <c r="K26" i="2" s="1"/>
  <c r="H26" i="3" l="1"/>
  <c r="I26" i="3"/>
  <c r="P26" i="3"/>
  <c r="M26" i="3"/>
  <c r="D26" i="3"/>
  <c r="K26" i="3"/>
  <c r="N26" i="3"/>
  <c r="O26" i="2"/>
  <c r="Q26" i="2" s="1"/>
  <c r="Q26" i="3" s="1"/>
  <c r="A26" i="3"/>
  <c r="E26" i="3"/>
  <c r="F26" i="3"/>
  <c r="L26" i="3"/>
  <c r="J26" i="3"/>
  <c r="B26" i="3"/>
  <c r="C26" i="3"/>
  <c r="G26" i="3"/>
  <c r="O26" i="3"/>
  <c r="S26" i="3" s="1"/>
  <c r="AB275" i="2"/>
  <c r="W276" i="2"/>
  <c r="Z276" i="2" l="1"/>
  <c r="AA276" i="2" s="1"/>
  <c r="AB276" i="2" l="1"/>
  <c r="W277" i="2"/>
  <c r="Z277" i="2" l="1"/>
  <c r="AA277" i="2" s="1"/>
  <c r="W278" i="2" l="1"/>
  <c r="AB277" i="2"/>
  <c r="Z278" i="2" l="1"/>
  <c r="AA278" i="2" s="1"/>
  <c r="AB278" i="2" l="1"/>
  <c r="W279" i="2"/>
  <c r="Z279" i="2" l="1"/>
  <c r="AA279" i="2" s="1"/>
  <c r="AB279" i="2" l="1"/>
  <c r="W280" i="2"/>
  <c r="Z280" i="2" s="1"/>
  <c r="AA280" i="2" s="1"/>
  <c r="AB280" i="2" l="1"/>
  <c r="W281" i="2"/>
  <c r="Z281" i="2" s="1"/>
  <c r="AA281" i="2" s="1"/>
  <c r="W282" i="2" l="1"/>
  <c r="Z282" i="2" s="1"/>
  <c r="AA282" i="2" s="1"/>
  <c r="AB281" i="2"/>
  <c r="W283" i="2" l="1"/>
  <c r="Z283" i="2" s="1"/>
  <c r="AA283" i="2" s="1"/>
  <c r="AB282" i="2"/>
  <c r="W284" i="2" l="1"/>
  <c r="Z284" i="2" s="1"/>
  <c r="AA284" i="2" s="1"/>
  <c r="AB283" i="2"/>
  <c r="AB284" i="2" l="1"/>
  <c r="W285" i="2"/>
  <c r="Z285" i="2" s="1"/>
  <c r="AA285" i="2" s="1"/>
  <c r="W286" i="2" l="1"/>
  <c r="AB285" i="2"/>
  <c r="Z286" i="2" l="1"/>
  <c r="AA286" i="2" s="1"/>
  <c r="X286" i="2"/>
  <c r="V425" i="2" l="1"/>
  <c r="Y286" i="2"/>
  <c r="W425" i="2" s="1"/>
  <c r="C27" i="2" s="1"/>
  <c r="W287" i="2"/>
  <c r="AB286" i="2"/>
  <c r="D27" i="2" l="1"/>
  <c r="F27" i="2" s="1"/>
  <c r="K27" i="2" s="1"/>
  <c r="Z287" i="2"/>
  <c r="AA287" i="2" s="1"/>
  <c r="C27" i="3" l="1"/>
  <c r="H27" i="3"/>
  <c r="J27" i="3"/>
  <c r="K27" i="3"/>
  <c r="M27" i="3"/>
  <c r="I27" i="3"/>
  <c r="G27" i="3"/>
  <c r="B27" i="3"/>
  <c r="L27" i="3"/>
  <c r="F27" i="3"/>
  <c r="O27" i="2"/>
  <c r="Q27" i="2" s="1"/>
  <c r="Q27" i="3" s="1"/>
  <c r="O27" i="3"/>
  <c r="S27" i="3" s="1"/>
  <c r="A27" i="3"/>
  <c r="D27" i="3"/>
  <c r="N27" i="3"/>
  <c r="P27" i="3"/>
  <c r="E27" i="3"/>
  <c r="W288" i="2"/>
  <c r="AB287" i="2"/>
  <c r="Z288" i="2" l="1"/>
  <c r="AA288" i="2" s="1"/>
  <c r="W289" i="2" l="1"/>
  <c r="AB288" i="2"/>
  <c r="Z289" i="2" l="1"/>
  <c r="AA289" i="2" s="1"/>
  <c r="W290" i="2" l="1"/>
  <c r="AB289" i="2"/>
  <c r="Z290" i="2" l="1"/>
  <c r="AA290" i="2" s="1"/>
  <c r="AB290" i="2" l="1"/>
  <c r="W291" i="2"/>
  <c r="Z291" i="2" l="1"/>
  <c r="AA291" i="2" s="1"/>
  <c r="W292" i="2" l="1"/>
  <c r="Z292" i="2" s="1"/>
  <c r="AA292" i="2" s="1"/>
  <c r="AB291" i="2"/>
  <c r="AB292" i="2" l="1"/>
  <c r="W293" i="2"/>
  <c r="Z293" i="2" s="1"/>
  <c r="AA293" i="2" s="1"/>
  <c r="W294" i="2" l="1"/>
  <c r="Z294" i="2" s="1"/>
  <c r="AA294" i="2" s="1"/>
  <c r="AB293" i="2"/>
  <c r="W295" i="2" l="1"/>
  <c r="Z295" i="2" s="1"/>
  <c r="AA295" i="2" s="1"/>
  <c r="AB294" i="2"/>
  <c r="AB295" i="2" l="1"/>
  <c r="W296" i="2"/>
  <c r="Z296" i="2" s="1"/>
  <c r="AA296" i="2" s="1"/>
  <c r="AB296" i="2" l="1"/>
  <c r="W297" i="2"/>
  <c r="Z297" i="2" s="1"/>
  <c r="AA297" i="2" s="1"/>
  <c r="W298" i="2" l="1"/>
  <c r="AB297" i="2"/>
  <c r="Z298" i="2" l="1"/>
  <c r="AA298" i="2" s="1"/>
  <c r="X298" i="2"/>
  <c r="Y298" i="2" l="1"/>
  <c r="W426" i="2" s="1"/>
  <c r="C28" i="2" s="1"/>
  <c r="V426" i="2"/>
  <c r="D28" i="2" s="1"/>
  <c r="W299" i="2"/>
  <c r="AB298" i="2"/>
  <c r="F28" i="2" l="1"/>
  <c r="K28" i="2" s="1"/>
  <c r="Z299" i="2"/>
  <c r="AA299" i="2" s="1"/>
  <c r="W300" i="2" l="1"/>
  <c r="AB299" i="2"/>
  <c r="C28" i="3"/>
  <c r="O28" i="2"/>
  <c r="Q28" i="2" s="1"/>
  <c r="Q28" i="3" s="1"/>
  <c r="G28" i="3"/>
  <c r="L28" i="3"/>
  <c r="E28" i="3"/>
  <c r="I28" i="3"/>
  <c r="J28" i="3"/>
  <c r="F28" i="3"/>
  <c r="D28" i="3"/>
  <c r="B28" i="3"/>
  <c r="P28" i="3"/>
  <c r="K28" i="3"/>
  <c r="H28" i="3"/>
  <c r="M28" i="3"/>
  <c r="A28" i="3"/>
  <c r="N28" i="3"/>
  <c r="O28" i="3"/>
  <c r="S28" i="3" s="1"/>
  <c r="Z300" i="2" l="1"/>
  <c r="AA300" i="2" s="1"/>
  <c r="AB300" i="2" l="1"/>
  <c r="W301" i="2"/>
  <c r="Z301" i="2" l="1"/>
  <c r="AA301" i="2" s="1"/>
  <c r="W302" i="2" l="1"/>
  <c r="AB301" i="2"/>
  <c r="Z302" i="2" l="1"/>
  <c r="AA302" i="2" s="1"/>
  <c r="W303" i="2" l="1"/>
  <c r="AB302" i="2"/>
  <c r="Z303" i="2" l="1"/>
  <c r="AA303" i="2" s="1"/>
  <c r="W304" i="2" l="1"/>
  <c r="Z304" i="2" s="1"/>
  <c r="AA304" i="2" s="1"/>
  <c r="AB303" i="2"/>
  <c r="AB304" i="2" l="1"/>
  <c r="W305" i="2"/>
  <c r="Z305" i="2" s="1"/>
  <c r="AA305" i="2" s="1"/>
  <c r="W306" i="2" l="1"/>
  <c r="Z306" i="2" s="1"/>
  <c r="AA306" i="2" s="1"/>
  <c r="AB305" i="2"/>
  <c r="W307" i="2" l="1"/>
  <c r="Z307" i="2" s="1"/>
  <c r="AA307" i="2" s="1"/>
  <c r="AB306" i="2"/>
  <c r="AB307" i="2" l="1"/>
  <c r="W308" i="2"/>
  <c r="Z308" i="2" s="1"/>
  <c r="AA308" i="2" s="1"/>
  <c r="AB308" i="2" l="1"/>
  <c r="W309" i="2"/>
  <c r="Z309" i="2" s="1"/>
  <c r="AA309" i="2" s="1"/>
  <c r="W310" i="2" l="1"/>
  <c r="AB309" i="2"/>
  <c r="Z310" i="2" l="1"/>
  <c r="AA310" i="2" s="1"/>
  <c r="X310" i="2"/>
  <c r="Y310" i="2" l="1"/>
  <c r="W427" i="2" s="1"/>
  <c r="C29" i="2" s="1"/>
  <c r="V427" i="2"/>
  <c r="AB310" i="2"/>
  <c r="W311" i="2"/>
  <c r="D29" i="2" l="1"/>
  <c r="F29" i="2" s="1"/>
  <c r="K29" i="2" s="1"/>
  <c r="Z311" i="2"/>
  <c r="AA311" i="2" s="1"/>
  <c r="A29" i="3" l="1"/>
  <c r="B29" i="3"/>
  <c r="K29" i="3"/>
  <c r="O29" i="2"/>
  <c r="Q29" i="2" s="1"/>
  <c r="Q29" i="3" s="1"/>
  <c r="D29" i="3"/>
  <c r="H29" i="3"/>
  <c r="C29" i="3"/>
  <c r="I29" i="3"/>
  <c r="N29" i="3"/>
  <c r="P29" i="3"/>
  <c r="M29" i="3"/>
  <c r="L29" i="3"/>
  <c r="E29" i="3"/>
  <c r="J29" i="3"/>
  <c r="F29" i="3"/>
  <c r="G29" i="3"/>
  <c r="O29" i="3"/>
  <c r="S29" i="3" s="1"/>
  <c r="W312" i="2"/>
  <c r="AB311" i="2"/>
  <c r="Z312" i="2" l="1"/>
  <c r="AA312" i="2" s="1"/>
  <c r="W313" i="2" l="1"/>
  <c r="AB312" i="2"/>
  <c r="Z313" i="2" l="1"/>
  <c r="AA313" i="2" s="1"/>
  <c r="W314" i="2" l="1"/>
  <c r="AB313" i="2"/>
  <c r="Z314" i="2" l="1"/>
  <c r="AA314" i="2" s="1"/>
  <c r="W315" i="2" l="1"/>
  <c r="AB314" i="2"/>
  <c r="Z315" i="2" l="1"/>
  <c r="AA315" i="2" s="1"/>
  <c r="W316" i="2" l="1"/>
  <c r="Z316" i="2" s="1"/>
  <c r="AA316" i="2" s="1"/>
  <c r="AB315" i="2"/>
  <c r="W317" i="2" l="1"/>
  <c r="Z317" i="2" s="1"/>
  <c r="AA317" i="2" s="1"/>
  <c r="AB316" i="2"/>
  <c r="W318" i="2" l="1"/>
  <c r="Z318" i="2" s="1"/>
  <c r="AA318" i="2" s="1"/>
  <c r="AB317" i="2"/>
  <c r="AB318" i="2" l="1"/>
  <c r="W319" i="2"/>
  <c r="Z319" i="2" s="1"/>
  <c r="AA319" i="2" s="1"/>
  <c r="W320" i="2" l="1"/>
  <c r="Z320" i="2" s="1"/>
  <c r="AA320" i="2" s="1"/>
  <c r="AB319" i="2"/>
  <c r="W321" i="2" l="1"/>
  <c r="Z321" i="2" s="1"/>
  <c r="AA321" i="2" s="1"/>
  <c r="AB320" i="2"/>
  <c r="W322" i="2" l="1"/>
  <c r="AB321" i="2"/>
  <c r="Z322" i="2" l="1"/>
  <c r="AA322" i="2" s="1"/>
  <c r="X322" i="2"/>
  <c r="Y322" i="2" l="1"/>
  <c r="W428" i="2" s="1"/>
  <c r="C30" i="2" s="1"/>
  <c r="V428" i="2"/>
  <c r="D30" i="2" s="1"/>
  <c r="AB322" i="2"/>
  <c r="W323" i="2"/>
  <c r="Z323" i="2" l="1"/>
  <c r="AA323" i="2" s="1"/>
  <c r="F30" i="2"/>
  <c r="K30" i="2" s="1"/>
  <c r="J30" i="3" l="1"/>
  <c r="O30" i="2"/>
  <c r="Q30" i="2" s="1"/>
  <c r="Q30" i="3" s="1"/>
  <c r="L30" i="3"/>
  <c r="A30" i="3"/>
  <c r="H30" i="3"/>
  <c r="E30" i="3"/>
  <c r="P30" i="3"/>
  <c r="I30" i="3"/>
  <c r="F30" i="3"/>
  <c r="K30" i="3"/>
  <c r="C30" i="3"/>
  <c r="B30" i="3"/>
  <c r="G30" i="3"/>
  <c r="N30" i="3"/>
  <c r="D30" i="3"/>
  <c r="M30" i="3"/>
  <c r="O30" i="3"/>
  <c r="S30" i="3" s="1"/>
  <c r="W324" i="2"/>
  <c r="AB323" i="2"/>
  <c r="Z324" i="2" l="1"/>
  <c r="AA324" i="2" s="1"/>
  <c r="AB324" i="2" l="1"/>
  <c r="W325" i="2"/>
  <c r="Z325" i="2" l="1"/>
  <c r="AA325" i="2" s="1"/>
  <c r="W326" i="2" l="1"/>
  <c r="AB325" i="2"/>
  <c r="Z326" i="2" l="1"/>
  <c r="AA326" i="2" s="1"/>
  <c r="W327" i="2" l="1"/>
  <c r="AB326" i="2"/>
  <c r="Z327" i="2" l="1"/>
  <c r="AA327" i="2" s="1"/>
  <c r="AB327" i="2" l="1"/>
  <c r="W328" i="2"/>
  <c r="Z328" i="2" s="1"/>
  <c r="AA328" i="2" s="1"/>
  <c r="AB328" i="2" l="1"/>
  <c r="W329" i="2"/>
  <c r="Z329" i="2" s="1"/>
  <c r="AA329" i="2" s="1"/>
  <c r="W330" i="2" l="1"/>
  <c r="Z330" i="2" s="1"/>
  <c r="AA330" i="2" s="1"/>
  <c r="AB329" i="2"/>
  <c r="AB330" i="2" l="1"/>
  <c r="W331" i="2"/>
  <c r="Z331" i="2" s="1"/>
  <c r="AA331" i="2" s="1"/>
  <c r="W332" i="2" l="1"/>
  <c r="Z332" i="2" s="1"/>
  <c r="AA332" i="2" s="1"/>
  <c r="AB331" i="2"/>
  <c r="AB332" i="2" l="1"/>
  <c r="W333" i="2"/>
  <c r="Z333" i="2" s="1"/>
  <c r="AA333" i="2" s="1"/>
  <c r="W334" i="2" l="1"/>
  <c r="AB333" i="2"/>
  <c r="Z334" i="2" l="1"/>
  <c r="AA334" i="2" s="1"/>
  <c r="X334" i="2"/>
  <c r="V429" i="2" l="1"/>
  <c r="Y334" i="2"/>
  <c r="W429" i="2" s="1"/>
  <c r="C31" i="2" s="1"/>
  <c r="AB334" i="2"/>
  <c r="W335" i="2"/>
  <c r="D31" i="2" l="1"/>
  <c r="F31" i="2" s="1"/>
  <c r="K31" i="2" s="1"/>
  <c r="Z335" i="2"/>
  <c r="AA335" i="2" s="1"/>
  <c r="B31" i="3" l="1"/>
  <c r="L31" i="3"/>
  <c r="J31" i="3"/>
  <c r="F31" i="3"/>
  <c r="O31" i="2"/>
  <c r="Q31" i="2" s="1"/>
  <c r="Q31" i="3" s="1"/>
  <c r="A31" i="3"/>
  <c r="P31" i="3"/>
  <c r="G31" i="3"/>
  <c r="H31" i="3"/>
  <c r="N31" i="3"/>
  <c r="K31" i="3"/>
  <c r="C31" i="3"/>
  <c r="E31" i="3"/>
  <c r="I31" i="3"/>
  <c r="M31" i="3"/>
  <c r="D31" i="3"/>
  <c r="O31" i="3"/>
  <c r="S31" i="3" s="1"/>
  <c r="W336" i="2"/>
  <c r="AB335" i="2"/>
  <c r="Z336" i="2" l="1"/>
  <c r="AA336" i="2" s="1"/>
  <c r="AB336" i="2" l="1"/>
  <c r="W337" i="2"/>
  <c r="Z337" i="2" l="1"/>
  <c r="AA337" i="2" s="1"/>
  <c r="W338" i="2" l="1"/>
  <c r="AB337" i="2"/>
  <c r="Z338" i="2" l="1"/>
  <c r="AA338" i="2" s="1"/>
  <c r="W339" i="2" l="1"/>
  <c r="AB338" i="2"/>
  <c r="Z339" i="2" l="1"/>
  <c r="AA339" i="2" s="1"/>
  <c r="AB339" i="2" l="1"/>
  <c r="W340" i="2"/>
  <c r="Z340" i="2" s="1"/>
  <c r="AA340" i="2" s="1"/>
  <c r="W341" i="2" l="1"/>
  <c r="Z341" i="2" s="1"/>
  <c r="AA341" i="2" s="1"/>
  <c r="AB340" i="2"/>
  <c r="W342" i="2" l="1"/>
  <c r="Z342" i="2" s="1"/>
  <c r="AA342" i="2" s="1"/>
  <c r="AB341" i="2"/>
  <c r="W343" i="2" l="1"/>
  <c r="Z343" i="2" s="1"/>
  <c r="AA343" i="2" s="1"/>
  <c r="AB342" i="2"/>
  <c r="AB343" i="2" l="1"/>
  <c r="W344" i="2"/>
  <c r="Z344" i="2" s="1"/>
  <c r="AA344" i="2" s="1"/>
  <c r="W345" i="2" l="1"/>
  <c r="Z345" i="2" s="1"/>
  <c r="AA345" i="2" s="1"/>
  <c r="AB344" i="2"/>
  <c r="W346" i="2" l="1"/>
  <c r="AB345" i="2"/>
  <c r="Z346" i="2" l="1"/>
  <c r="AA346" i="2" s="1"/>
  <c r="X346" i="2"/>
  <c r="V430" i="2" l="1"/>
  <c r="Y346" i="2"/>
  <c r="W430" i="2" s="1"/>
  <c r="C32" i="2" s="1"/>
  <c r="AB346" i="2"/>
  <c r="W347" i="2"/>
  <c r="D32" i="2" l="1"/>
  <c r="Z347" i="2"/>
  <c r="AA347" i="2" s="1"/>
  <c r="F32" i="2"/>
  <c r="K32" i="2" s="1"/>
  <c r="C32" i="3" l="1"/>
  <c r="I32" i="3"/>
  <c r="E32" i="3"/>
  <c r="J32" i="3"/>
  <c r="L32" i="3"/>
  <c r="D32" i="3"/>
  <c r="N32" i="3"/>
  <c r="H32" i="3"/>
  <c r="G32" i="3"/>
  <c r="B32" i="3"/>
  <c r="O32" i="2"/>
  <c r="Q32" i="2" s="1"/>
  <c r="Q32" i="3" s="1"/>
  <c r="K32" i="3"/>
  <c r="M32" i="3"/>
  <c r="P32" i="3"/>
  <c r="F32" i="3"/>
  <c r="A32" i="3"/>
  <c r="O32" i="3"/>
  <c r="S32" i="3" s="1"/>
  <c r="AB347" i="2"/>
  <c r="W348" i="2"/>
  <c r="Z348" i="2" l="1"/>
  <c r="AA348" i="2" s="1"/>
  <c r="AB348" i="2" l="1"/>
  <c r="W349" i="2"/>
  <c r="Z349" i="2" l="1"/>
  <c r="AA349" i="2" s="1"/>
  <c r="W350" i="2" l="1"/>
  <c r="AB349" i="2"/>
  <c r="Z350" i="2" l="1"/>
  <c r="AA350" i="2" s="1"/>
  <c r="AB350" i="2" l="1"/>
  <c r="W351" i="2"/>
  <c r="Z351" i="2" l="1"/>
  <c r="AA351" i="2" s="1"/>
  <c r="W352" i="2" l="1"/>
  <c r="Z352" i="2" s="1"/>
  <c r="AA352" i="2" s="1"/>
  <c r="AB351" i="2"/>
  <c r="AB352" i="2" l="1"/>
  <c r="W353" i="2"/>
  <c r="Z353" i="2" s="1"/>
  <c r="AA353" i="2" s="1"/>
  <c r="AB353" i="2" l="1"/>
  <c r="W354" i="2"/>
  <c r="Z354" i="2" s="1"/>
  <c r="AA354" i="2" s="1"/>
  <c r="W355" i="2" l="1"/>
  <c r="Z355" i="2" s="1"/>
  <c r="AA355" i="2" s="1"/>
  <c r="AB354" i="2"/>
  <c r="W356" i="2" l="1"/>
  <c r="Z356" i="2" s="1"/>
  <c r="AA356" i="2" s="1"/>
  <c r="AB355" i="2"/>
  <c r="W357" i="2" l="1"/>
  <c r="Z357" i="2" s="1"/>
  <c r="AA357" i="2" s="1"/>
  <c r="AB356" i="2"/>
  <c r="W358" i="2" l="1"/>
  <c r="AB357" i="2"/>
  <c r="Z358" i="2" l="1"/>
  <c r="AA358" i="2" s="1"/>
  <c r="X358" i="2"/>
  <c r="Y358" i="2" l="1"/>
  <c r="W431" i="2" s="1"/>
  <c r="C33" i="2" s="1"/>
  <c r="V431" i="2"/>
  <c r="D33" i="2" s="1"/>
  <c r="W359" i="2"/>
  <c r="AB358" i="2"/>
  <c r="Z359" i="2" l="1"/>
  <c r="AA359" i="2" s="1"/>
  <c r="F33" i="2"/>
  <c r="K33" i="2" s="1"/>
  <c r="H33" i="3" l="1"/>
  <c r="N33" i="3"/>
  <c r="F33" i="3"/>
  <c r="M33" i="3"/>
  <c r="J33" i="3"/>
  <c r="I33" i="3"/>
  <c r="O33" i="2"/>
  <c r="Q33" i="2" s="1"/>
  <c r="Q33" i="3" s="1"/>
  <c r="P33" i="3"/>
  <c r="D33" i="3"/>
  <c r="A33" i="3"/>
  <c r="C33" i="3"/>
  <c r="G33" i="3"/>
  <c r="B33" i="3"/>
  <c r="L33" i="3"/>
  <c r="K33" i="3"/>
  <c r="E33" i="3"/>
  <c r="O33" i="3"/>
  <c r="S33" i="3" s="1"/>
  <c r="AB359" i="2"/>
  <c r="W360" i="2"/>
  <c r="Z360" i="2" l="1"/>
  <c r="AA360" i="2" s="1"/>
  <c r="W361" i="2" l="1"/>
  <c r="AB360" i="2"/>
  <c r="Z361" i="2" l="1"/>
  <c r="AA361" i="2" s="1"/>
  <c r="W362" i="2" l="1"/>
  <c r="AB361" i="2"/>
  <c r="Z362" i="2" l="1"/>
  <c r="AA362" i="2" s="1"/>
  <c r="W363" i="2" l="1"/>
  <c r="AB362" i="2"/>
  <c r="Z363" i="2" l="1"/>
  <c r="AA363" i="2" s="1"/>
  <c r="W364" i="2" l="1"/>
  <c r="Z364" i="2" s="1"/>
  <c r="AA364" i="2" s="1"/>
  <c r="AB363" i="2"/>
  <c r="AU67" i="2"/>
  <c r="AU66" i="2" s="1"/>
  <c r="AB364" i="2" l="1"/>
  <c r="W365" i="2"/>
  <c r="Z365" i="2" s="1"/>
  <c r="AA365" i="2" s="1"/>
  <c r="AL176" i="2"/>
  <c r="AB365" i="2" l="1"/>
  <c r="W366" i="2"/>
  <c r="Z366" i="2" s="1"/>
  <c r="AA366" i="2" s="1"/>
  <c r="AO176" i="2"/>
  <c r="AP176" i="2" s="1"/>
  <c r="W367" i="2" l="1"/>
  <c r="Z367" i="2" s="1"/>
  <c r="AA367" i="2" s="1"/>
  <c r="AB366" i="2"/>
  <c r="AL177" i="2"/>
  <c r="AQ176" i="2"/>
  <c r="AB367" i="2" l="1"/>
  <c r="W368" i="2"/>
  <c r="Z368" i="2" s="1"/>
  <c r="AA368" i="2" s="1"/>
  <c r="AO177" i="2"/>
  <c r="AP177" i="2" s="1"/>
  <c r="AB368" i="2" l="1"/>
  <c r="W369" i="2"/>
  <c r="Z369" i="2" s="1"/>
  <c r="AA369" i="2" s="1"/>
  <c r="AL178" i="2"/>
  <c r="AQ177" i="2"/>
  <c r="W370" i="2" l="1"/>
  <c r="AB369" i="2"/>
  <c r="AO178" i="2"/>
  <c r="AP178" i="2" s="1"/>
  <c r="AM178" i="2"/>
  <c r="Z370" i="2" l="1"/>
  <c r="AA370" i="2" s="1"/>
  <c r="X370" i="2"/>
  <c r="AN178" i="2"/>
  <c r="AL416" i="2" s="1"/>
  <c r="AK416" i="2"/>
  <c r="AQ178" i="2"/>
  <c r="AL179" i="2"/>
  <c r="AO179" i="2" s="1"/>
  <c r="AP179" i="2" s="1"/>
  <c r="Y370" i="2" l="1"/>
  <c r="W432" i="2" s="1"/>
  <c r="C34" i="2" s="1"/>
  <c r="V432" i="2"/>
  <c r="D34" i="2" s="1"/>
  <c r="W371" i="2"/>
  <c r="AB370" i="2"/>
  <c r="AL180" i="2"/>
  <c r="AO180" i="2" s="1"/>
  <c r="AP180" i="2" s="1"/>
  <c r="AQ179" i="2"/>
  <c r="Z371" i="2" l="1"/>
  <c r="AA371" i="2" s="1"/>
  <c r="F34" i="2"/>
  <c r="K34" i="2" s="1"/>
  <c r="AL181" i="2"/>
  <c r="AO181" i="2" s="1"/>
  <c r="AP181" i="2" s="1"/>
  <c r="AQ180" i="2"/>
  <c r="M34" i="3" l="1"/>
  <c r="I34" i="3"/>
  <c r="E34" i="3"/>
  <c r="B34" i="3"/>
  <c r="P34" i="3"/>
  <c r="C34" i="3"/>
  <c r="N34" i="3"/>
  <c r="F34" i="3"/>
  <c r="K34" i="3"/>
  <c r="D34" i="3"/>
  <c r="O34" i="2"/>
  <c r="Q34" i="2" s="1"/>
  <c r="Q34" i="3" s="1"/>
  <c r="A34" i="3"/>
  <c r="L34" i="3"/>
  <c r="J34" i="3"/>
  <c r="H34" i="3"/>
  <c r="O34" i="3"/>
  <c r="S34" i="3" s="1"/>
  <c r="G34" i="3"/>
  <c r="AB371" i="2"/>
  <c r="W372" i="2"/>
  <c r="AL182" i="2"/>
  <c r="AO182" i="2" s="1"/>
  <c r="AP182" i="2" s="1"/>
  <c r="AQ181" i="2"/>
  <c r="Z372" i="2" l="1"/>
  <c r="AA372" i="2" s="1"/>
  <c r="AQ182" i="2"/>
  <c r="AL183" i="2"/>
  <c r="AO183" i="2" s="1"/>
  <c r="AP183" i="2" s="1"/>
  <c r="W373" i="2" l="1"/>
  <c r="AB372" i="2"/>
  <c r="AL184" i="2"/>
  <c r="AO184" i="2" s="1"/>
  <c r="AP184" i="2" s="1"/>
  <c r="AQ183" i="2"/>
  <c r="Z373" i="2" l="1"/>
  <c r="AA373" i="2" s="1"/>
  <c r="AQ184" i="2"/>
  <c r="AL185" i="2"/>
  <c r="AO185" i="2" s="1"/>
  <c r="AP185" i="2" s="1"/>
  <c r="W374" i="2" l="1"/>
  <c r="AB373" i="2"/>
  <c r="AL186" i="2"/>
  <c r="AO186" i="2" s="1"/>
  <c r="AP186" i="2" s="1"/>
  <c r="AQ185" i="2"/>
  <c r="Z374" i="2" l="1"/>
  <c r="AA374" i="2" s="1"/>
  <c r="AL187" i="2"/>
  <c r="AO187" i="2" s="1"/>
  <c r="AP187" i="2" s="1"/>
  <c r="AQ186" i="2"/>
  <c r="W375" i="2" l="1"/>
  <c r="AB374" i="2"/>
  <c r="AL188" i="2"/>
  <c r="AO188" i="2" s="1"/>
  <c r="AP188" i="2" s="1"/>
  <c r="AQ187" i="2"/>
  <c r="Z375" i="2" l="1"/>
  <c r="AA375" i="2" s="1"/>
  <c r="AL189" i="2"/>
  <c r="AO189" i="2" s="1"/>
  <c r="AP189" i="2" s="1"/>
  <c r="AQ188" i="2"/>
  <c r="W376" i="2" l="1"/>
  <c r="Z376" i="2" s="1"/>
  <c r="AA376" i="2" s="1"/>
  <c r="AB375" i="2"/>
  <c r="AQ189" i="2"/>
  <c r="AL190" i="2"/>
  <c r="AB376" i="2" l="1"/>
  <c r="W377" i="2"/>
  <c r="Z377" i="2" s="1"/>
  <c r="AA377" i="2" s="1"/>
  <c r="AO190" i="2"/>
  <c r="AP190" i="2" s="1"/>
  <c r="AM190" i="2"/>
  <c r="W378" i="2" l="1"/>
  <c r="Z378" i="2" s="1"/>
  <c r="AA378" i="2" s="1"/>
  <c r="AB377" i="2"/>
  <c r="AK417" i="2"/>
  <c r="AN190" i="2"/>
  <c r="AL417" i="2" s="1"/>
  <c r="AL191" i="2"/>
  <c r="AO191" i="2" s="1"/>
  <c r="AP191" i="2" s="1"/>
  <c r="AQ191" i="2" s="1"/>
  <c r="AQ190" i="2"/>
  <c r="AL192" i="2"/>
  <c r="W379" i="2" l="1"/>
  <c r="Z379" i="2" s="1"/>
  <c r="AA379" i="2" s="1"/>
  <c r="AB378" i="2"/>
  <c r="AO192" i="2"/>
  <c r="AP192" i="2" s="1"/>
  <c r="AB379" i="2" l="1"/>
  <c r="W380" i="2"/>
  <c r="Z380" i="2" s="1"/>
  <c r="AA380" i="2" s="1"/>
  <c r="AQ192" i="2"/>
  <c r="AL193" i="2"/>
  <c r="W381" i="2" l="1"/>
  <c r="Z381" i="2" s="1"/>
  <c r="AA381" i="2" s="1"/>
  <c r="AB380" i="2"/>
  <c r="AO193" i="2"/>
  <c r="AP193" i="2" s="1"/>
  <c r="W382" i="2" l="1"/>
  <c r="AB381" i="2"/>
  <c r="AQ193" i="2"/>
  <c r="AL194" i="2"/>
  <c r="Z382" i="2" l="1"/>
  <c r="AA382" i="2" s="1"/>
  <c r="X382" i="2"/>
  <c r="AO194" i="2"/>
  <c r="AP194" i="2" s="1"/>
  <c r="Y382" i="2" l="1"/>
  <c r="W433" i="2" s="1"/>
  <c r="C35" i="2" s="1"/>
  <c r="V433" i="2"/>
  <c r="D35" i="2" s="1"/>
  <c r="W383" i="2"/>
  <c r="AB382" i="2"/>
  <c r="AQ194" i="2"/>
  <c r="AL195" i="2"/>
  <c r="Z383" i="2" l="1"/>
  <c r="AA383" i="2" s="1"/>
  <c r="F35" i="2"/>
  <c r="K35" i="2" s="1"/>
  <c r="AO195" i="2"/>
  <c r="AP195" i="2" s="1"/>
  <c r="F35" i="3" l="1"/>
  <c r="B35" i="3"/>
  <c r="M35" i="3"/>
  <c r="J35" i="3"/>
  <c r="H35" i="3"/>
  <c r="C35" i="3"/>
  <c r="K35" i="3"/>
  <c r="L35" i="3"/>
  <c r="G35" i="3"/>
  <c r="E35" i="3"/>
  <c r="A35" i="3"/>
  <c r="I35" i="3"/>
  <c r="P35" i="3"/>
  <c r="D35" i="3"/>
  <c r="N35" i="3"/>
  <c r="O35" i="2"/>
  <c r="Q35" i="2" s="1"/>
  <c r="Q35" i="3" s="1"/>
  <c r="O35" i="3"/>
  <c r="S35" i="3" s="1"/>
  <c r="AB383" i="2"/>
  <c r="W384" i="2"/>
  <c r="AQ195" i="2"/>
  <c r="AL196" i="2"/>
  <c r="AO196" i="2" s="1"/>
  <c r="AP196" i="2" s="1"/>
  <c r="Z384" i="2" l="1"/>
  <c r="AA384" i="2" s="1"/>
  <c r="AL197" i="2"/>
  <c r="AO197" i="2" s="1"/>
  <c r="AP197" i="2" s="1"/>
  <c r="AQ196" i="2"/>
  <c r="AB384" i="2" l="1"/>
  <c r="W385" i="2"/>
  <c r="AL198" i="2"/>
  <c r="AO198" i="2" s="1"/>
  <c r="AP198" i="2" s="1"/>
  <c r="AQ197" i="2"/>
  <c r="Z385" i="2" l="1"/>
  <c r="AA385" i="2" s="1"/>
  <c r="AL199" i="2"/>
  <c r="AO199" i="2" s="1"/>
  <c r="AP199" i="2" s="1"/>
  <c r="AQ198" i="2"/>
  <c r="W386" i="2" l="1"/>
  <c r="AB385" i="2"/>
  <c r="AL200" i="2"/>
  <c r="AO200" i="2" s="1"/>
  <c r="AP200" i="2" s="1"/>
  <c r="AQ199" i="2"/>
  <c r="Z386" i="2" l="1"/>
  <c r="AA386" i="2" s="1"/>
  <c r="AL201" i="2"/>
  <c r="AO201" i="2" s="1"/>
  <c r="AP201" i="2" s="1"/>
  <c r="AQ200" i="2"/>
  <c r="AB386" i="2" l="1"/>
  <c r="W387" i="2"/>
  <c r="AL202" i="2"/>
  <c r="AQ201" i="2"/>
  <c r="Z387" i="2" l="1"/>
  <c r="AA387" i="2" s="1"/>
  <c r="AO202" i="2"/>
  <c r="AP202" i="2" s="1"/>
  <c r="AM202" i="2"/>
  <c r="AB387" i="2" l="1"/>
  <c r="W388" i="2"/>
  <c r="Z388" i="2" s="1"/>
  <c r="AA388" i="2" s="1"/>
  <c r="AN202" i="2"/>
  <c r="AL418" i="2" s="1"/>
  <c r="AK418" i="2"/>
  <c r="AL203" i="2"/>
  <c r="AQ202" i="2"/>
  <c r="AB388" i="2" l="1"/>
  <c r="W389" i="2"/>
  <c r="Z389" i="2" s="1"/>
  <c r="AA389" i="2" s="1"/>
  <c r="AO203" i="2"/>
  <c r="AP203" i="2" s="1"/>
  <c r="W390" i="2" l="1"/>
  <c r="Z390" i="2" s="1"/>
  <c r="AA390" i="2" s="1"/>
  <c r="AB389" i="2"/>
  <c r="AL204" i="2"/>
  <c r="AQ203" i="2"/>
  <c r="AB390" i="2" l="1"/>
  <c r="W391" i="2"/>
  <c r="Z391" i="2" s="1"/>
  <c r="AA391" i="2" s="1"/>
  <c r="AO204" i="2"/>
  <c r="AP204" i="2" s="1"/>
  <c r="AB391" i="2" l="1"/>
  <c r="W392" i="2"/>
  <c r="Z392" i="2" s="1"/>
  <c r="AA392" i="2" s="1"/>
  <c r="AQ204" i="2"/>
  <c r="AL205" i="2"/>
  <c r="AB392" i="2" l="1"/>
  <c r="W393" i="2"/>
  <c r="Z393" i="2" s="1"/>
  <c r="AA393" i="2" s="1"/>
  <c r="AO205" i="2"/>
  <c r="AP205" i="2" s="1"/>
  <c r="W394" i="2" l="1"/>
  <c r="AB393" i="2"/>
  <c r="AL206" i="2"/>
  <c r="AQ205" i="2"/>
  <c r="Z394" i="2" l="1"/>
  <c r="AA394" i="2" s="1"/>
  <c r="X394" i="2"/>
  <c r="AO206" i="2"/>
  <c r="AP206" i="2" s="1"/>
  <c r="Y394" i="2" l="1"/>
  <c r="W434" i="2" s="1"/>
  <c r="C36" i="2" s="1"/>
  <c r="V434" i="2"/>
  <c r="D36" i="2" s="1"/>
  <c r="F36" i="2" s="1"/>
  <c r="K36" i="2" s="1"/>
  <c r="W395" i="2"/>
  <c r="AB394" i="2"/>
  <c r="AL207" i="2"/>
  <c r="AQ206" i="2"/>
  <c r="Z395" i="2" l="1"/>
  <c r="AA395" i="2" s="1"/>
  <c r="E36" i="3"/>
  <c r="D36" i="3"/>
  <c r="C36" i="3"/>
  <c r="H36" i="3"/>
  <c r="G36" i="3"/>
  <c r="K36" i="3"/>
  <c r="I36" i="3"/>
  <c r="N36" i="3"/>
  <c r="J36" i="3"/>
  <c r="A36" i="3"/>
  <c r="L36" i="3"/>
  <c r="P36" i="3"/>
  <c r="O36" i="2"/>
  <c r="Q36" i="2" s="1"/>
  <c r="Q36" i="3" s="1"/>
  <c r="F36" i="3"/>
  <c r="B36" i="3"/>
  <c r="M36" i="3"/>
  <c r="O36" i="3"/>
  <c r="S36" i="3" s="1"/>
  <c r="AO207" i="2"/>
  <c r="AP207" i="2" s="1"/>
  <c r="W396" i="2" l="1"/>
  <c r="AB395" i="2"/>
  <c r="AL208" i="2"/>
  <c r="AO208" i="2" s="1"/>
  <c r="AP208" i="2" s="1"/>
  <c r="AQ207" i="2"/>
  <c r="Z396" i="2" l="1"/>
  <c r="AA396" i="2" s="1"/>
  <c r="AL209" i="2"/>
  <c r="AO209" i="2" s="1"/>
  <c r="AP209" i="2" s="1"/>
  <c r="AQ208" i="2"/>
  <c r="AB396" i="2" l="1"/>
  <c r="W397" i="2"/>
  <c r="AL210" i="2"/>
  <c r="AO210" i="2" s="1"/>
  <c r="AP210" i="2" s="1"/>
  <c r="AQ209" i="2"/>
  <c r="Z397" i="2" l="1"/>
  <c r="AA397" i="2" s="1"/>
  <c r="AL211" i="2"/>
  <c r="AO211" i="2" s="1"/>
  <c r="AP211" i="2" s="1"/>
  <c r="AQ210" i="2"/>
  <c r="W398" i="2" l="1"/>
  <c r="AB397" i="2"/>
  <c r="AL212" i="2"/>
  <c r="AO212" i="2" s="1"/>
  <c r="AP212" i="2" s="1"/>
  <c r="AQ211" i="2"/>
  <c r="Z398" i="2" l="1"/>
  <c r="AA398" i="2" s="1"/>
  <c r="AL213" i="2"/>
  <c r="AO213" i="2" s="1"/>
  <c r="AP213" i="2" s="1"/>
  <c r="AQ212" i="2"/>
  <c r="W399" i="2" l="1"/>
  <c r="AB398" i="2"/>
  <c r="AL214" i="2"/>
  <c r="AQ213" i="2"/>
  <c r="Z399" i="2" l="1"/>
  <c r="AA399" i="2" s="1"/>
  <c r="AO214" i="2"/>
  <c r="AP214" i="2" s="1"/>
  <c r="AM214" i="2"/>
  <c r="AB399" i="2" l="1"/>
  <c r="W400" i="2"/>
  <c r="Z400" i="2" s="1"/>
  <c r="AA400" i="2" s="1"/>
  <c r="AN214" i="2"/>
  <c r="AL419" i="2" s="1"/>
  <c r="AK419" i="2"/>
  <c r="AL215" i="2"/>
  <c r="AQ214" i="2"/>
  <c r="AB400" i="2" l="1"/>
  <c r="W401" i="2"/>
  <c r="Z401" i="2" s="1"/>
  <c r="AA401" i="2" s="1"/>
  <c r="AO215" i="2"/>
  <c r="AP215" i="2" s="1"/>
  <c r="W402" i="2" l="1"/>
  <c r="Z402" i="2" s="1"/>
  <c r="AA402" i="2" s="1"/>
  <c r="AB401" i="2"/>
  <c r="AL216" i="2"/>
  <c r="AQ215" i="2"/>
  <c r="W403" i="2" l="1"/>
  <c r="Z403" i="2" s="1"/>
  <c r="AA403" i="2" s="1"/>
  <c r="AB402" i="2"/>
  <c r="AO216" i="2"/>
  <c r="AP216" i="2" s="1"/>
  <c r="AB403" i="2" l="1"/>
  <c r="W404" i="2"/>
  <c r="Z404" i="2" s="1"/>
  <c r="AA404" i="2" s="1"/>
  <c r="AL217" i="2"/>
  <c r="AQ216" i="2"/>
  <c r="AB404" i="2" l="1"/>
  <c r="W405" i="2"/>
  <c r="Z405" i="2" s="1"/>
  <c r="AA405" i="2" s="1"/>
  <c r="AO217" i="2"/>
  <c r="AP217" i="2" s="1"/>
  <c r="AB405" i="2" l="1"/>
  <c r="W406" i="2"/>
  <c r="AL218" i="2"/>
  <c r="AQ217" i="2"/>
  <c r="Z406" i="2" l="1"/>
  <c r="AA406" i="2" s="1"/>
  <c r="AB406" i="2" s="1"/>
  <c r="X406" i="2"/>
  <c r="AO218" i="2"/>
  <c r="AP218" i="2" s="1"/>
  <c r="V435" i="2" l="1"/>
  <c r="Y406" i="2"/>
  <c r="W435" i="2" s="1"/>
  <c r="C37" i="2" s="1"/>
  <c r="AL219" i="2"/>
  <c r="AQ218" i="2"/>
  <c r="D37" i="2" l="1"/>
  <c r="D38" i="2"/>
  <c r="F37" i="2"/>
  <c r="AO219" i="2"/>
  <c r="AP219" i="2" s="1"/>
  <c r="K37" i="2" l="1"/>
  <c r="F38" i="2"/>
  <c r="AL220" i="2"/>
  <c r="AO220" i="2" s="1"/>
  <c r="AP220" i="2" s="1"/>
  <c r="AQ219" i="2"/>
  <c r="C37" i="3" l="1"/>
  <c r="H37" i="3"/>
  <c r="H38" i="3" s="1"/>
  <c r="D87" i="1" s="1"/>
  <c r="M37" i="3"/>
  <c r="M38" i="3" s="1"/>
  <c r="O37" i="2"/>
  <c r="A37" i="3"/>
  <c r="P37" i="3"/>
  <c r="I37" i="3"/>
  <c r="N37" i="3"/>
  <c r="N38" i="3" s="1"/>
  <c r="J37" i="3"/>
  <c r="J38" i="3" s="1"/>
  <c r="L37" i="3"/>
  <c r="L38" i="3" s="1"/>
  <c r="G37" i="3"/>
  <c r="D37" i="3"/>
  <c r="D38" i="3" s="1"/>
  <c r="D86" i="1" s="1"/>
  <c r="K37" i="3"/>
  <c r="K38" i="3" s="1"/>
  <c r="E37" i="3"/>
  <c r="F37" i="3"/>
  <c r="F38" i="3" s="1"/>
  <c r="B37" i="3"/>
  <c r="Q37" i="3"/>
  <c r="Q38" i="3" s="1"/>
  <c r="K38" i="2"/>
  <c r="AL221" i="2"/>
  <c r="AO221" i="2" s="1"/>
  <c r="AP221" i="2" s="1"/>
  <c r="AQ220" i="2"/>
  <c r="D88" i="1" l="1"/>
  <c r="D42" i="3"/>
  <c r="Q40" i="3"/>
  <c r="Q41" i="3" s="1"/>
  <c r="D84" i="1" s="1"/>
  <c r="O37" i="3"/>
  <c r="Q37" i="2"/>
  <c r="Q38" i="2" s="1"/>
  <c r="O38" i="2"/>
  <c r="T36" i="3"/>
  <c r="U37" i="3" s="1"/>
  <c r="D83" i="1"/>
  <c r="T13" i="3"/>
  <c r="U13" i="3" s="1"/>
  <c r="T14" i="3"/>
  <c r="T15" i="3"/>
  <c r="T16" i="3"/>
  <c r="U17" i="3" s="1"/>
  <c r="T17" i="3"/>
  <c r="U18" i="3" s="1"/>
  <c r="T18" i="3"/>
  <c r="U19" i="3" s="1"/>
  <c r="T19" i="3"/>
  <c r="U20" i="3" s="1"/>
  <c r="T20" i="3"/>
  <c r="U21" i="3" s="1"/>
  <c r="T21" i="3"/>
  <c r="U22" i="3" s="1"/>
  <c r="T22" i="3"/>
  <c r="U23" i="3" s="1"/>
  <c r="T23" i="3"/>
  <c r="U24" i="3" s="1"/>
  <c r="T24" i="3"/>
  <c r="U25" i="3" s="1"/>
  <c r="T25" i="3"/>
  <c r="U26" i="3" s="1"/>
  <c r="T26" i="3"/>
  <c r="U27" i="3" s="1"/>
  <c r="T27" i="3"/>
  <c r="U28" i="3" s="1"/>
  <c r="T28" i="3"/>
  <c r="U29" i="3" s="1"/>
  <c r="T29" i="3"/>
  <c r="U30" i="3" s="1"/>
  <c r="T30" i="3"/>
  <c r="U31" i="3" s="1"/>
  <c r="T31" i="3"/>
  <c r="U32" i="3" s="1"/>
  <c r="T32" i="3"/>
  <c r="U33" i="3" s="1"/>
  <c r="T33" i="3"/>
  <c r="U34" i="3" s="1"/>
  <c r="T34" i="3"/>
  <c r="U35" i="3" s="1"/>
  <c r="T35" i="3"/>
  <c r="U36" i="3" s="1"/>
  <c r="K42" i="3"/>
  <c r="D89" i="1" s="1"/>
  <c r="J39" i="3"/>
  <c r="F39" i="3"/>
  <c r="AL222" i="2"/>
  <c r="AO222" i="2" s="1"/>
  <c r="AP222" i="2" s="1"/>
  <c r="AQ221" i="2"/>
  <c r="Q42" i="3" l="1"/>
  <c r="D85" i="1" s="1"/>
  <c r="U15" i="3"/>
  <c r="U14" i="3"/>
  <c r="O38" i="3"/>
  <c r="P38" i="3" s="1"/>
  <c r="S37" i="3"/>
  <c r="T37" i="3" s="1"/>
  <c r="T38" i="3" s="1"/>
  <c r="U16" i="3"/>
  <c r="AL223" i="2"/>
  <c r="AO223" i="2" s="1"/>
  <c r="AP223" i="2" s="1"/>
  <c r="AQ222" i="2"/>
  <c r="U38" i="3" l="1"/>
  <c r="V38" i="3" s="1"/>
  <c r="AL224" i="2"/>
  <c r="AO224" i="2" s="1"/>
  <c r="AP224" i="2" s="1"/>
  <c r="AQ223" i="2"/>
  <c r="G42" i="3" l="1"/>
  <c r="D90" i="1"/>
  <c r="AQ224" i="2"/>
  <c r="AL225" i="2"/>
  <c r="AO225" i="2" s="1"/>
  <c r="AP225" i="2" s="1"/>
  <c r="AL226" i="2" l="1"/>
  <c r="AQ225" i="2"/>
  <c r="AO226" i="2" l="1"/>
  <c r="AP226" i="2" s="1"/>
  <c r="AM226" i="2"/>
  <c r="AN226" i="2" l="1"/>
  <c r="AL420" i="2" s="1"/>
  <c r="AK420" i="2"/>
  <c r="AL227" i="2"/>
  <c r="AQ226" i="2"/>
  <c r="AO227" i="2" l="1"/>
  <c r="AP227" i="2" s="1"/>
  <c r="AL228" i="2" l="1"/>
  <c r="AQ227" i="2"/>
  <c r="AO228" i="2" l="1"/>
  <c r="AP228" i="2" s="1"/>
  <c r="AL229" i="2" l="1"/>
  <c r="AQ228" i="2"/>
  <c r="AO229" i="2" l="1"/>
  <c r="AP229" i="2" s="1"/>
  <c r="AL230" i="2" l="1"/>
  <c r="AQ229" i="2"/>
  <c r="AO230" i="2" l="1"/>
  <c r="AP230" i="2" s="1"/>
  <c r="AL231" i="2" l="1"/>
  <c r="AQ230" i="2"/>
  <c r="AO231" i="2" l="1"/>
  <c r="AP231" i="2" s="1"/>
  <c r="AL232" i="2" l="1"/>
  <c r="AO232" i="2" s="1"/>
  <c r="AP232" i="2" s="1"/>
  <c r="AQ231" i="2"/>
  <c r="AQ232" i="2" l="1"/>
  <c r="AL233" i="2"/>
  <c r="AO233" i="2" s="1"/>
  <c r="AP233" i="2" s="1"/>
  <c r="AL234" i="2" l="1"/>
  <c r="AO234" i="2" s="1"/>
  <c r="AP234" i="2" s="1"/>
  <c r="AQ233" i="2"/>
  <c r="AL235" i="2" l="1"/>
  <c r="AO235" i="2" s="1"/>
  <c r="AP235" i="2" s="1"/>
  <c r="AQ234" i="2"/>
  <c r="AL236" i="2" l="1"/>
  <c r="AO236" i="2" s="1"/>
  <c r="AP236" i="2" s="1"/>
  <c r="AQ235" i="2"/>
  <c r="AL237" i="2" l="1"/>
  <c r="AO237" i="2" s="1"/>
  <c r="AP237" i="2" s="1"/>
  <c r="AQ236" i="2"/>
  <c r="AL238" i="2" l="1"/>
  <c r="AQ237" i="2"/>
  <c r="AO238" i="2" l="1"/>
  <c r="AP238" i="2" s="1"/>
  <c r="AM238" i="2"/>
  <c r="AK421" i="2" l="1"/>
  <c r="AN238" i="2"/>
  <c r="AL421" i="2" s="1"/>
  <c r="AL239" i="2"/>
  <c r="AQ238" i="2"/>
  <c r="AO239" i="2" l="1"/>
  <c r="AP239" i="2" s="1"/>
  <c r="AL240" i="2" l="1"/>
  <c r="AQ239" i="2"/>
  <c r="AO240" i="2" l="1"/>
  <c r="AP240" i="2" s="1"/>
  <c r="AQ240" i="2" l="1"/>
  <c r="AL241" i="2"/>
  <c r="AO241" i="2" l="1"/>
  <c r="AP241" i="2" s="1"/>
  <c r="AL242" i="2" l="1"/>
  <c r="AQ241" i="2"/>
  <c r="AO242" i="2" l="1"/>
  <c r="AP242" i="2" s="1"/>
  <c r="AL243" i="2" l="1"/>
  <c r="AQ242" i="2"/>
  <c r="AO243" i="2" l="1"/>
  <c r="AP243" i="2" s="1"/>
  <c r="AL244" i="2" l="1"/>
  <c r="AO244" i="2" s="1"/>
  <c r="AP244" i="2" s="1"/>
  <c r="AQ243" i="2"/>
  <c r="AL245" i="2" l="1"/>
  <c r="AO245" i="2" s="1"/>
  <c r="AP245" i="2" s="1"/>
  <c r="AQ244" i="2"/>
  <c r="AL246" i="2" l="1"/>
  <c r="AO246" i="2" s="1"/>
  <c r="AP246" i="2" s="1"/>
  <c r="AQ245" i="2"/>
  <c r="AL247" i="2" l="1"/>
  <c r="AO247" i="2" s="1"/>
  <c r="AP247" i="2" s="1"/>
  <c r="AQ246" i="2"/>
  <c r="AL248" i="2" l="1"/>
  <c r="AO248" i="2" s="1"/>
  <c r="AP248" i="2" s="1"/>
  <c r="AQ247" i="2"/>
  <c r="AL249" i="2" l="1"/>
  <c r="AO249" i="2" s="1"/>
  <c r="AP249" i="2" s="1"/>
  <c r="AQ248" i="2"/>
  <c r="AL250" i="2" l="1"/>
  <c r="AQ249" i="2"/>
  <c r="AO250" i="2" l="1"/>
  <c r="AP250" i="2" s="1"/>
  <c r="AM250" i="2"/>
  <c r="AK422" i="2" l="1"/>
  <c r="AN250" i="2"/>
  <c r="AL422" i="2" s="1"/>
  <c r="AL251" i="2"/>
  <c r="AQ250" i="2"/>
  <c r="AO251" i="2" l="1"/>
  <c r="AP251" i="2" s="1"/>
  <c r="AL252" i="2" l="1"/>
  <c r="AQ251" i="2"/>
  <c r="AO252" i="2" l="1"/>
  <c r="AP252" i="2" s="1"/>
  <c r="AL253" i="2" l="1"/>
  <c r="AQ252" i="2"/>
  <c r="AO253" i="2" l="1"/>
  <c r="AP253" i="2" s="1"/>
  <c r="AL254" i="2" l="1"/>
  <c r="AQ253" i="2"/>
  <c r="AO254" i="2" l="1"/>
  <c r="AP254" i="2" s="1"/>
  <c r="AL255" i="2" l="1"/>
  <c r="AQ254" i="2"/>
  <c r="AO255" i="2" l="1"/>
  <c r="AP255" i="2" s="1"/>
  <c r="AL256" i="2" l="1"/>
  <c r="AO256" i="2" s="1"/>
  <c r="AP256" i="2" s="1"/>
  <c r="AQ255" i="2"/>
  <c r="AL257" i="2" l="1"/>
  <c r="AO257" i="2" s="1"/>
  <c r="AP257" i="2" s="1"/>
  <c r="AQ256" i="2"/>
  <c r="AL258" i="2" l="1"/>
  <c r="AO258" i="2" s="1"/>
  <c r="AP258" i="2" s="1"/>
  <c r="AQ257" i="2"/>
  <c r="AL259" i="2" l="1"/>
  <c r="AO259" i="2" s="1"/>
  <c r="AP259" i="2" s="1"/>
  <c r="AQ258" i="2"/>
  <c r="AL260" i="2" l="1"/>
  <c r="AO260" i="2" s="1"/>
  <c r="AP260" i="2" s="1"/>
  <c r="AQ259" i="2"/>
  <c r="AQ260" i="2" l="1"/>
  <c r="AL261" i="2"/>
  <c r="AO261" i="2" s="1"/>
  <c r="AP261" i="2" s="1"/>
  <c r="AL262" i="2" l="1"/>
  <c r="AQ261" i="2"/>
  <c r="AO262" i="2" l="1"/>
  <c r="AP262" i="2" s="1"/>
  <c r="AM262" i="2"/>
  <c r="AK423" i="2" l="1"/>
  <c r="AN262" i="2"/>
  <c r="AL423" i="2" s="1"/>
  <c r="AL263" i="2"/>
  <c r="AQ262" i="2"/>
  <c r="AO263" i="2" l="1"/>
  <c r="AP263" i="2" s="1"/>
  <c r="AL264" i="2" l="1"/>
  <c r="AQ263" i="2"/>
  <c r="AO264" i="2" l="1"/>
  <c r="AP264" i="2" s="1"/>
  <c r="AL265" i="2" l="1"/>
  <c r="AQ264" i="2"/>
  <c r="AO265" i="2" l="1"/>
  <c r="AP265" i="2" s="1"/>
  <c r="AL266" i="2" l="1"/>
  <c r="AQ265" i="2"/>
  <c r="AO266" i="2" l="1"/>
  <c r="AP266" i="2" s="1"/>
  <c r="AL267" i="2" l="1"/>
  <c r="AQ266" i="2"/>
  <c r="AO267" i="2" l="1"/>
  <c r="AP267" i="2" s="1"/>
  <c r="AL268" i="2" l="1"/>
  <c r="AO268" i="2" s="1"/>
  <c r="AP268" i="2" s="1"/>
  <c r="AQ267" i="2"/>
  <c r="AQ268" i="2" l="1"/>
  <c r="AL269" i="2"/>
  <c r="AO269" i="2" s="1"/>
  <c r="AP269" i="2" s="1"/>
  <c r="AL270" i="2" l="1"/>
  <c r="AO270" i="2" s="1"/>
  <c r="AP270" i="2" s="1"/>
  <c r="AQ269" i="2"/>
  <c r="AL271" i="2" l="1"/>
  <c r="AO271" i="2" s="1"/>
  <c r="AP271" i="2" s="1"/>
  <c r="AQ270" i="2"/>
  <c r="AL272" i="2" l="1"/>
  <c r="AO272" i="2" s="1"/>
  <c r="AP272" i="2" s="1"/>
  <c r="AQ271" i="2"/>
  <c r="AL273" i="2" l="1"/>
  <c r="AO273" i="2" s="1"/>
  <c r="AP273" i="2" s="1"/>
  <c r="AQ272" i="2"/>
  <c r="AL274" i="2" l="1"/>
  <c r="AQ273" i="2"/>
  <c r="AO274" i="2" l="1"/>
  <c r="AP274" i="2" s="1"/>
  <c r="AM274" i="2"/>
  <c r="AN274" i="2" l="1"/>
  <c r="AL424" i="2" s="1"/>
  <c r="AK424" i="2"/>
  <c r="AL275" i="2"/>
  <c r="AQ274" i="2"/>
  <c r="AO275" i="2" l="1"/>
  <c r="AP275" i="2" s="1"/>
  <c r="AQ275" i="2" l="1"/>
  <c r="AL276" i="2"/>
  <c r="AO276" i="2" l="1"/>
  <c r="AP276" i="2" s="1"/>
  <c r="AQ276" i="2" l="1"/>
  <c r="AL277" i="2"/>
  <c r="AO277" i="2" l="1"/>
  <c r="AP277" i="2" s="1"/>
  <c r="AL278" i="2" l="1"/>
  <c r="AQ277" i="2"/>
  <c r="AO278" i="2" l="1"/>
  <c r="AP278" i="2" s="1"/>
  <c r="AL279" i="2" l="1"/>
  <c r="AQ278" i="2"/>
  <c r="AO279" i="2" l="1"/>
  <c r="AP279" i="2" s="1"/>
  <c r="AL280" i="2" l="1"/>
  <c r="AO280" i="2" s="1"/>
  <c r="AP280" i="2" s="1"/>
  <c r="AQ279" i="2"/>
  <c r="AL281" i="2" l="1"/>
  <c r="AO281" i="2" s="1"/>
  <c r="AP281" i="2" s="1"/>
  <c r="AQ280" i="2"/>
  <c r="AL282" i="2" l="1"/>
  <c r="AO282" i="2" s="1"/>
  <c r="AP282" i="2" s="1"/>
  <c r="AQ281" i="2"/>
  <c r="AL283" i="2" l="1"/>
  <c r="AO283" i="2" s="1"/>
  <c r="AP283" i="2" s="1"/>
  <c r="AQ282" i="2"/>
  <c r="AL284" i="2" l="1"/>
  <c r="AO284" i="2" s="1"/>
  <c r="AP284" i="2" s="1"/>
  <c r="AQ283" i="2"/>
  <c r="AL285" i="2" l="1"/>
  <c r="AO285" i="2" s="1"/>
  <c r="AP285" i="2" s="1"/>
  <c r="AQ284" i="2"/>
  <c r="AL286" i="2" l="1"/>
  <c r="AQ285" i="2"/>
  <c r="AO286" i="2" l="1"/>
  <c r="AP286" i="2" s="1"/>
  <c r="AM286" i="2"/>
  <c r="AN286" i="2" l="1"/>
  <c r="AL425" i="2" s="1"/>
  <c r="AK425" i="2"/>
  <c r="AL287" i="2"/>
  <c r="AQ286" i="2"/>
  <c r="AO287" i="2" l="1"/>
  <c r="AP287" i="2" s="1"/>
  <c r="AL288" i="2" l="1"/>
  <c r="AQ287" i="2"/>
  <c r="AO288" i="2" l="1"/>
  <c r="AP288" i="2" s="1"/>
  <c r="AL289" i="2" l="1"/>
  <c r="AQ288" i="2"/>
  <c r="AO289" i="2" l="1"/>
  <c r="AP289" i="2" s="1"/>
  <c r="AL290" i="2" l="1"/>
  <c r="AQ289" i="2"/>
  <c r="AO290" i="2" l="1"/>
  <c r="AP290" i="2" s="1"/>
  <c r="AL291" i="2" l="1"/>
  <c r="AQ290" i="2"/>
  <c r="AO291" i="2" l="1"/>
  <c r="AP291" i="2" s="1"/>
  <c r="AL292" i="2" l="1"/>
  <c r="AO292" i="2" s="1"/>
  <c r="AP292" i="2" s="1"/>
  <c r="AQ291" i="2"/>
  <c r="AL293" i="2" l="1"/>
  <c r="AO293" i="2" s="1"/>
  <c r="AP293" i="2" s="1"/>
  <c r="AQ292" i="2"/>
  <c r="AL294" i="2" l="1"/>
  <c r="AO294" i="2" s="1"/>
  <c r="AP294" i="2" s="1"/>
  <c r="AQ293" i="2"/>
  <c r="AL295" i="2" l="1"/>
  <c r="AO295" i="2" s="1"/>
  <c r="AP295" i="2" s="1"/>
  <c r="AQ294" i="2"/>
  <c r="AQ295" i="2" l="1"/>
  <c r="AL296" i="2"/>
  <c r="AO296" i="2" s="1"/>
  <c r="AP296" i="2" s="1"/>
  <c r="AQ296" i="2" l="1"/>
  <c r="AL297" i="2"/>
  <c r="AO297" i="2" s="1"/>
  <c r="AP297" i="2" s="1"/>
  <c r="AL298" i="2" l="1"/>
  <c r="AQ297" i="2"/>
  <c r="AO298" i="2" l="1"/>
  <c r="AP298" i="2" s="1"/>
  <c r="AM298" i="2"/>
  <c r="AK426" i="2" l="1"/>
  <c r="AN298" i="2"/>
  <c r="AL426" i="2" s="1"/>
  <c r="AL299" i="2"/>
  <c r="AQ298" i="2"/>
  <c r="AO299" i="2" l="1"/>
  <c r="AP299" i="2" s="1"/>
  <c r="AL300" i="2" l="1"/>
  <c r="AQ299" i="2"/>
  <c r="AO300" i="2" l="1"/>
  <c r="AP300" i="2" s="1"/>
  <c r="AL301" i="2" l="1"/>
  <c r="AQ300" i="2"/>
  <c r="AO301" i="2" l="1"/>
  <c r="AP301" i="2" s="1"/>
  <c r="AL302" i="2" l="1"/>
  <c r="AQ301" i="2"/>
  <c r="AO302" i="2" l="1"/>
  <c r="AP302" i="2" s="1"/>
  <c r="AL303" i="2" l="1"/>
  <c r="AQ302" i="2"/>
  <c r="AO303" i="2" l="1"/>
  <c r="AP303" i="2" s="1"/>
  <c r="AQ303" i="2" l="1"/>
  <c r="AL304" i="2"/>
  <c r="AO304" i="2" s="1"/>
  <c r="AP304" i="2" s="1"/>
  <c r="AQ304" i="2" l="1"/>
  <c r="AL305" i="2"/>
  <c r="AO305" i="2" s="1"/>
  <c r="AP305" i="2" s="1"/>
  <c r="AL306" i="2" l="1"/>
  <c r="AO306" i="2" s="1"/>
  <c r="AP306" i="2" s="1"/>
  <c r="AQ305" i="2"/>
  <c r="AL307" i="2" l="1"/>
  <c r="AO307" i="2" s="1"/>
  <c r="AP307" i="2" s="1"/>
  <c r="AQ306" i="2"/>
  <c r="AL308" i="2" l="1"/>
  <c r="AO308" i="2" s="1"/>
  <c r="AP308" i="2" s="1"/>
  <c r="AQ307" i="2"/>
  <c r="AL309" i="2" l="1"/>
  <c r="AO309" i="2" s="1"/>
  <c r="AP309" i="2" s="1"/>
  <c r="AQ308" i="2"/>
  <c r="AL310" i="2" l="1"/>
  <c r="AQ309" i="2"/>
  <c r="AO310" i="2" l="1"/>
  <c r="AP310" i="2" s="1"/>
  <c r="AM310" i="2"/>
  <c r="AN310" i="2" l="1"/>
  <c r="AL427" i="2" s="1"/>
  <c r="AK427" i="2"/>
  <c r="AQ310" i="2"/>
  <c r="AL311" i="2"/>
  <c r="AO311" i="2" l="1"/>
  <c r="AP311" i="2" s="1"/>
  <c r="AQ311" i="2" l="1"/>
  <c r="AL312" i="2"/>
  <c r="AO312" i="2" l="1"/>
  <c r="AP312" i="2" s="1"/>
  <c r="AQ312" i="2" l="1"/>
  <c r="AL313" i="2"/>
  <c r="AO313" i="2" l="1"/>
  <c r="AP313" i="2" s="1"/>
  <c r="AL314" i="2" l="1"/>
  <c r="AQ313" i="2"/>
  <c r="AO314" i="2" l="1"/>
  <c r="AP314" i="2" s="1"/>
  <c r="AL315" i="2" l="1"/>
  <c r="AQ314" i="2"/>
  <c r="AO315" i="2" l="1"/>
  <c r="AP315" i="2" s="1"/>
  <c r="AL316" i="2" l="1"/>
  <c r="AO316" i="2" s="1"/>
  <c r="AP316" i="2" s="1"/>
  <c r="AQ315" i="2"/>
  <c r="AL317" i="2" l="1"/>
  <c r="AO317" i="2" s="1"/>
  <c r="AP317" i="2" s="1"/>
  <c r="AQ316" i="2"/>
  <c r="AL318" i="2" l="1"/>
  <c r="AO318" i="2" s="1"/>
  <c r="AP318" i="2" s="1"/>
  <c r="AQ317" i="2"/>
  <c r="AL319" i="2" l="1"/>
  <c r="AO319" i="2" s="1"/>
  <c r="AP319" i="2" s="1"/>
  <c r="AQ318" i="2"/>
  <c r="AL320" i="2" l="1"/>
  <c r="AO320" i="2" s="1"/>
  <c r="AP320" i="2" s="1"/>
  <c r="AQ319" i="2"/>
  <c r="AL321" i="2" l="1"/>
  <c r="AO321" i="2" s="1"/>
  <c r="AP321" i="2" s="1"/>
  <c r="AQ320" i="2"/>
  <c r="AL322" i="2" l="1"/>
  <c r="AQ321" i="2"/>
  <c r="AO322" i="2" l="1"/>
  <c r="AP322" i="2" s="1"/>
  <c r="AM322" i="2"/>
  <c r="AN322" i="2" l="1"/>
  <c r="AL428" i="2" s="1"/>
  <c r="AK428" i="2"/>
  <c r="AL323" i="2"/>
  <c r="AQ322" i="2"/>
  <c r="AO323" i="2" l="1"/>
  <c r="AP323" i="2" s="1"/>
  <c r="AL324" i="2" l="1"/>
  <c r="AQ323" i="2"/>
  <c r="AO324" i="2" l="1"/>
  <c r="AP324" i="2" s="1"/>
  <c r="AL325" i="2" l="1"/>
  <c r="AQ324" i="2"/>
  <c r="AO325" i="2" l="1"/>
  <c r="AP325" i="2" s="1"/>
  <c r="AL326" i="2" l="1"/>
  <c r="AQ325" i="2"/>
  <c r="AO326" i="2" l="1"/>
  <c r="AP326" i="2" s="1"/>
  <c r="AL327" i="2" l="1"/>
  <c r="AQ326" i="2"/>
  <c r="AO327" i="2" l="1"/>
  <c r="AP327" i="2" s="1"/>
  <c r="AL328" i="2" l="1"/>
  <c r="AO328" i="2" s="1"/>
  <c r="AP328" i="2" s="1"/>
  <c r="AQ327" i="2"/>
  <c r="AL329" i="2" l="1"/>
  <c r="AO329" i="2" s="1"/>
  <c r="AP329" i="2" s="1"/>
  <c r="AQ328" i="2"/>
  <c r="AL330" i="2" l="1"/>
  <c r="AO330" i="2" s="1"/>
  <c r="AP330" i="2" s="1"/>
  <c r="AQ329" i="2"/>
  <c r="AQ330" i="2" l="1"/>
  <c r="AL331" i="2"/>
  <c r="AO331" i="2" s="1"/>
  <c r="AP331" i="2" s="1"/>
  <c r="AQ331" i="2" l="1"/>
  <c r="AL332" i="2"/>
  <c r="AO332" i="2" s="1"/>
  <c r="AP332" i="2" s="1"/>
  <c r="AQ332" i="2" l="1"/>
  <c r="AL333" i="2"/>
  <c r="AO333" i="2" s="1"/>
  <c r="AP333" i="2" s="1"/>
  <c r="AL334" i="2" l="1"/>
  <c r="AQ333" i="2"/>
  <c r="AO334" i="2" l="1"/>
  <c r="AP334" i="2" s="1"/>
  <c r="AM334" i="2"/>
  <c r="AK429" i="2" l="1"/>
  <c r="AN334" i="2"/>
  <c r="AL429" i="2" s="1"/>
  <c r="AL335" i="2"/>
  <c r="AQ334" i="2"/>
  <c r="AO335" i="2" l="1"/>
  <c r="AP335" i="2" s="1"/>
  <c r="AL336" i="2" l="1"/>
  <c r="AQ335" i="2"/>
  <c r="AO336" i="2" l="1"/>
  <c r="AP336" i="2" s="1"/>
  <c r="AL337" i="2" l="1"/>
  <c r="AQ336" i="2"/>
  <c r="AO337" i="2" l="1"/>
  <c r="AP337" i="2" s="1"/>
  <c r="AL338" i="2" l="1"/>
  <c r="AQ337" i="2"/>
  <c r="AO338" i="2" l="1"/>
  <c r="AP338" i="2" s="1"/>
  <c r="AQ338" i="2" l="1"/>
  <c r="AL339" i="2"/>
  <c r="AO339" i="2" l="1"/>
  <c r="AP339" i="2" s="1"/>
  <c r="AQ339" i="2" l="1"/>
  <c r="AL340" i="2"/>
  <c r="AO340" i="2" s="1"/>
  <c r="AP340" i="2" s="1"/>
  <c r="AQ340" i="2" l="1"/>
  <c r="AL341" i="2"/>
  <c r="AO341" i="2" s="1"/>
  <c r="AP341" i="2" s="1"/>
  <c r="AL342" i="2" l="1"/>
  <c r="AO342" i="2" s="1"/>
  <c r="AP342" i="2" s="1"/>
  <c r="AQ341" i="2"/>
  <c r="AL343" i="2" l="1"/>
  <c r="AO343" i="2" s="1"/>
  <c r="AP343" i="2" s="1"/>
  <c r="AQ342" i="2"/>
  <c r="AL344" i="2" l="1"/>
  <c r="AO344" i="2" s="1"/>
  <c r="AP344" i="2" s="1"/>
  <c r="AQ343" i="2"/>
  <c r="AL345" i="2" l="1"/>
  <c r="AO345" i="2" s="1"/>
  <c r="AP345" i="2" s="1"/>
  <c r="AQ344" i="2"/>
  <c r="AL346" i="2" l="1"/>
  <c r="AQ345" i="2"/>
  <c r="AO346" i="2" l="1"/>
  <c r="AP346" i="2" s="1"/>
  <c r="AM346" i="2"/>
  <c r="AN346" i="2" l="1"/>
  <c r="AL430" i="2" s="1"/>
  <c r="AK430" i="2"/>
  <c r="AQ346" i="2"/>
  <c r="AL347" i="2"/>
  <c r="AO347" i="2" l="1"/>
  <c r="AP347" i="2" s="1"/>
  <c r="AQ347" i="2" l="1"/>
  <c r="AL348" i="2"/>
  <c r="AO348" i="2" l="1"/>
  <c r="AP348" i="2" s="1"/>
  <c r="AQ348" i="2" l="1"/>
  <c r="AL349" i="2"/>
  <c r="AO349" i="2" l="1"/>
  <c r="AP349" i="2" s="1"/>
  <c r="AL350" i="2" l="1"/>
  <c r="AQ349" i="2"/>
  <c r="AO350" i="2" l="1"/>
  <c r="AP350" i="2" s="1"/>
  <c r="AL351" i="2" l="1"/>
  <c r="AQ350" i="2"/>
  <c r="AO351" i="2" l="1"/>
  <c r="AP351" i="2" s="1"/>
  <c r="AL352" i="2" l="1"/>
  <c r="AO352" i="2" s="1"/>
  <c r="AP352" i="2" s="1"/>
  <c r="AQ351" i="2"/>
  <c r="AL353" i="2" l="1"/>
  <c r="AO353" i="2" s="1"/>
  <c r="AP353" i="2" s="1"/>
  <c r="AQ352" i="2"/>
  <c r="AL354" i="2" l="1"/>
  <c r="AO354" i="2" s="1"/>
  <c r="AP354" i="2" s="1"/>
  <c r="AQ353" i="2"/>
  <c r="AL355" i="2" l="1"/>
  <c r="AO355" i="2" s="1"/>
  <c r="AP355" i="2" s="1"/>
  <c r="AQ354" i="2"/>
  <c r="AL356" i="2" l="1"/>
  <c r="AO356" i="2" s="1"/>
  <c r="AP356" i="2" s="1"/>
  <c r="AQ355" i="2"/>
  <c r="AL357" i="2" l="1"/>
  <c r="AO357" i="2" s="1"/>
  <c r="AP357" i="2" s="1"/>
  <c r="AQ356" i="2"/>
  <c r="AL358" i="2" l="1"/>
  <c r="AQ357" i="2"/>
  <c r="AO358" i="2" l="1"/>
  <c r="AP358" i="2" s="1"/>
  <c r="AM358" i="2"/>
  <c r="AN358" i="2" l="1"/>
  <c r="AL431" i="2" s="1"/>
  <c r="AK431" i="2"/>
  <c r="AL359" i="2"/>
  <c r="AQ358" i="2"/>
  <c r="AO359" i="2" l="1"/>
  <c r="AP359" i="2" s="1"/>
  <c r="AL360" i="2" l="1"/>
  <c r="AQ359" i="2"/>
  <c r="AO360" i="2" l="1"/>
  <c r="AP360" i="2" s="1"/>
  <c r="AL361" i="2" l="1"/>
  <c r="AQ360" i="2"/>
  <c r="AO361" i="2" l="1"/>
  <c r="AP361" i="2" s="1"/>
  <c r="AL362" i="2" l="1"/>
  <c r="AQ361" i="2"/>
  <c r="AO362" i="2" l="1"/>
  <c r="AP362" i="2" s="1"/>
  <c r="AL363" i="2" l="1"/>
  <c r="AQ362" i="2"/>
  <c r="AO363" i="2" l="1"/>
  <c r="AP363" i="2" s="1"/>
  <c r="AL364" i="2" l="1"/>
  <c r="AO364" i="2" s="1"/>
  <c r="AP364" i="2" s="1"/>
  <c r="AQ363" i="2"/>
  <c r="AL365" i="2" l="1"/>
  <c r="AO365" i="2" s="1"/>
  <c r="AP365" i="2" s="1"/>
  <c r="AQ364" i="2"/>
  <c r="AL366" i="2" l="1"/>
  <c r="AO366" i="2" s="1"/>
  <c r="AP366" i="2" s="1"/>
  <c r="AQ365" i="2"/>
  <c r="AQ366" i="2" l="1"/>
  <c r="AL367" i="2"/>
  <c r="AO367" i="2" s="1"/>
  <c r="AP367" i="2" s="1"/>
  <c r="AQ367" i="2" l="1"/>
  <c r="AL368" i="2"/>
  <c r="AO368" i="2" s="1"/>
  <c r="AP368" i="2" s="1"/>
  <c r="AQ368" i="2" l="1"/>
  <c r="AL369" i="2"/>
  <c r="AO369" i="2" s="1"/>
  <c r="AP369" i="2" s="1"/>
  <c r="AL370" i="2" l="1"/>
  <c r="AQ369" i="2"/>
  <c r="AO370" i="2" l="1"/>
  <c r="AP370" i="2" s="1"/>
  <c r="AM370" i="2"/>
  <c r="AK432" i="2" l="1"/>
  <c r="AN370" i="2"/>
  <c r="AL432" i="2" s="1"/>
  <c r="AL371" i="2"/>
  <c r="AQ370" i="2"/>
  <c r="AO371" i="2" l="1"/>
  <c r="AP371" i="2" s="1"/>
  <c r="AL372" i="2" l="1"/>
  <c r="AQ371" i="2"/>
  <c r="AO372" i="2" l="1"/>
  <c r="AP372" i="2" s="1"/>
  <c r="AL373" i="2" l="1"/>
  <c r="AQ372" i="2"/>
  <c r="AO373" i="2" l="1"/>
  <c r="AP373" i="2" s="1"/>
  <c r="AL374" i="2" l="1"/>
  <c r="AQ373" i="2"/>
  <c r="AO374" i="2" l="1"/>
  <c r="AP374" i="2" s="1"/>
  <c r="AQ374" i="2" l="1"/>
  <c r="AL375" i="2"/>
  <c r="AO375" i="2" l="1"/>
  <c r="AP375" i="2" s="1"/>
  <c r="AQ375" i="2" l="1"/>
  <c r="AL376" i="2"/>
  <c r="AO376" i="2" s="1"/>
  <c r="AP376" i="2" s="1"/>
  <c r="AQ376" i="2" l="1"/>
  <c r="AL377" i="2"/>
  <c r="AO377" i="2" s="1"/>
  <c r="AP377" i="2" s="1"/>
  <c r="AL378" i="2" l="1"/>
  <c r="AO378" i="2" s="1"/>
  <c r="AP378" i="2" s="1"/>
  <c r="AQ377" i="2"/>
  <c r="AL379" i="2" l="1"/>
  <c r="AO379" i="2" s="1"/>
  <c r="AP379" i="2" s="1"/>
  <c r="AQ378" i="2"/>
  <c r="AL380" i="2" l="1"/>
  <c r="AO380" i="2" s="1"/>
  <c r="AP380" i="2" s="1"/>
  <c r="AQ379" i="2"/>
  <c r="AL381" i="2" l="1"/>
  <c r="AO381" i="2" s="1"/>
  <c r="AP381" i="2" s="1"/>
  <c r="AQ380" i="2"/>
  <c r="AL382" i="2" l="1"/>
  <c r="AQ381" i="2"/>
  <c r="AO382" i="2" l="1"/>
  <c r="AP382" i="2" s="1"/>
  <c r="AM382" i="2"/>
  <c r="AN382" i="2" l="1"/>
  <c r="AL433" i="2" s="1"/>
  <c r="AK433" i="2"/>
  <c r="AQ382" i="2"/>
  <c r="AL383" i="2"/>
  <c r="AO383" i="2" l="1"/>
  <c r="AP383" i="2" s="1"/>
  <c r="AQ383" i="2" l="1"/>
  <c r="AL384" i="2"/>
  <c r="AO384" i="2" l="1"/>
  <c r="AP384" i="2" s="1"/>
  <c r="AQ384" i="2" l="1"/>
  <c r="AL385" i="2"/>
  <c r="AO385" i="2" l="1"/>
  <c r="AP385" i="2" s="1"/>
  <c r="AL386" i="2" l="1"/>
  <c r="AQ385" i="2"/>
  <c r="AO386" i="2" l="1"/>
  <c r="AP386" i="2" s="1"/>
  <c r="AL387" i="2" l="1"/>
  <c r="AQ386" i="2"/>
  <c r="AO387" i="2" l="1"/>
  <c r="AP387" i="2" s="1"/>
  <c r="AL388" i="2" l="1"/>
  <c r="AO388" i="2" s="1"/>
  <c r="AP388" i="2" s="1"/>
  <c r="AQ387" i="2"/>
  <c r="AL389" i="2" l="1"/>
  <c r="AO389" i="2" s="1"/>
  <c r="AP389" i="2" s="1"/>
  <c r="AQ388" i="2"/>
  <c r="AL390" i="2" l="1"/>
  <c r="AO390" i="2" s="1"/>
  <c r="AP390" i="2" s="1"/>
  <c r="AQ389" i="2"/>
  <c r="AL391" i="2" l="1"/>
  <c r="AO391" i="2" s="1"/>
  <c r="AP391" i="2" s="1"/>
  <c r="AQ390" i="2"/>
  <c r="AL392" i="2" l="1"/>
  <c r="AO392" i="2" s="1"/>
  <c r="AP392" i="2" s="1"/>
  <c r="AQ391" i="2"/>
  <c r="AL393" i="2" l="1"/>
  <c r="AO393" i="2" s="1"/>
  <c r="AP393" i="2" s="1"/>
  <c r="AQ392" i="2"/>
  <c r="AL394" i="2" l="1"/>
  <c r="AQ393" i="2"/>
  <c r="AO394" i="2" l="1"/>
  <c r="AP394" i="2" s="1"/>
  <c r="AM394" i="2"/>
  <c r="AN394" i="2" l="1"/>
  <c r="AL434" i="2" s="1"/>
  <c r="AK434" i="2"/>
  <c r="AL395" i="2"/>
  <c r="AQ394" i="2"/>
  <c r="AO395" i="2" l="1"/>
  <c r="AP395" i="2" s="1"/>
  <c r="AL396" i="2" l="1"/>
  <c r="AQ395" i="2"/>
  <c r="AO396" i="2" l="1"/>
  <c r="AP396" i="2" s="1"/>
  <c r="AL397" i="2" l="1"/>
  <c r="AQ396" i="2"/>
  <c r="AO397" i="2" l="1"/>
  <c r="AP397" i="2" s="1"/>
  <c r="AL398" i="2" l="1"/>
  <c r="AQ397" i="2"/>
  <c r="AO398" i="2" l="1"/>
  <c r="AP398" i="2" s="1"/>
  <c r="AL399" i="2" l="1"/>
  <c r="AQ398" i="2"/>
  <c r="AO399" i="2" l="1"/>
  <c r="AP399" i="2" s="1"/>
  <c r="AL400" i="2" l="1"/>
  <c r="AO400" i="2" s="1"/>
  <c r="AP400" i="2" s="1"/>
  <c r="AQ399" i="2"/>
  <c r="AQ400" i="2" l="1"/>
  <c r="AL401" i="2"/>
  <c r="AO401" i="2" s="1"/>
  <c r="AP401" i="2" s="1"/>
  <c r="AL402" i="2" l="1"/>
  <c r="AO402" i="2" s="1"/>
  <c r="AP402" i="2" s="1"/>
  <c r="AQ401" i="2"/>
  <c r="AQ402" i="2" l="1"/>
  <c r="AL403" i="2"/>
  <c r="AO403" i="2" s="1"/>
  <c r="AP403" i="2" s="1"/>
  <c r="AQ403" i="2" l="1"/>
  <c r="AL404" i="2"/>
  <c r="AO404" i="2" s="1"/>
  <c r="AP404" i="2" s="1"/>
  <c r="AQ404" i="2" l="1"/>
  <c r="AL405" i="2"/>
  <c r="AO405" i="2" s="1"/>
  <c r="AP405" i="2" s="1"/>
  <c r="AL406" i="2" l="1"/>
  <c r="AQ405" i="2"/>
  <c r="AO406" i="2" l="1"/>
  <c r="AP406" i="2" s="1"/>
  <c r="AQ406" i="2" s="1"/>
  <c r="AM406" i="2"/>
  <c r="AK435" i="2" l="1"/>
  <c r="AN406" i="2"/>
  <c r="AL4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Rodney Kret</author>
  </authors>
  <commentList>
    <comment ref="C29" authorId="0" shapeId="0" xr:uid="{C7AD6E2A-45B9-4FAC-8B22-1CE947D7BF50}">
      <text>
        <r>
          <rPr>
            <sz val="10"/>
            <color indexed="81"/>
            <rFont val="Tahoma"/>
            <family val="2"/>
          </rPr>
          <t xml:space="preserve">Must be answered "Y" (for Yes) for the specified hyperbolic parameters below to override the segmented declines specified above.  
IN THIS SPREADSHEET a </t>
        </r>
        <r>
          <rPr>
            <u/>
            <sz val="10"/>
            <color indexed="81"/>
            <rFont val="Tahoma"/>
            <family val="2"/>
          </rPr>
          <t>Secant</t>
        </r>
        <r>
          <rPr>
            <sz val="10"/>
            <color indexed="81"/>
            <rFont val="Tahoma"/>
            <family val="2"/>
          </rPr>
          <t xml:space="preserve">-based (not Tangent) ARPS equation is used to calculate future production in monthly increments, starting with January of the current year.  The first 12 months are totaled as year 1 production, the second 12 months as year 2 production, etc.;  therefore, </t>
        </r>
        <r>
          <rPr>
            <u/>
            <sz val="10"/>
            <color indexed="81"/>
            <rFont val="Tahoma"/>
            <family val="2"/>
          </rPr>
          <t>the hyperbolic input parameters must correspond to January 1 of the current year</t>
        </r>
        <r>
          <rPr>
            <sz val="10"/>
            <color indexed="81"/>
            <rFont val="Tahoma"/>
            <family val="2"/>
          </rPr>
          <t xml:space="preserve">.  
Commonly accepted theoretical b values for single porosity reservoirs with good drive energy usually range between 0 and 1. Reservoirs with duel porosity, multi-porosity, fracture stimulated or poor reservoir drive energy (i.e. only gravity drainage) will demonstrate larger b factors but seldom go above 2.0 or 2.5.  Exponential and Harmonic declines are specific types of hyperbolic declines where the b factor is equal to 0 for exponential declines or equal to 1 for Harmonic declines.
At the user's option, a specified terminal annual decline rate will limit the effective annual decline to no less than the terminal decline rate - i.e., stop the decline curve from flattening out any further. </t>
        </r>
      </text>
    </comment>
    <comment ref="C46" authorId="0" shapeId="0" xr:uid="{50046919-49C1-42BA-B91D-ECFC5F7BDB6B}">
      <text>
        <r>
          <rPr>
            <sz val="10"/>
            <color indexed="81"/>
            <rFont val="Tahoma"/>
            <family val="2"/>
          </rPr>
          <t xml:space="preserve">Must be answered "Y" (for Yes) for the specified hyperbolic parameters below to override the segmented declines specified above.  
IN THIS SPREADSHEET a </t>
        </r>
        <r>
          <rPr>
            <u/>
            <sz val="10"/>
            <color indexed="81"/>
            <rFont val="Tahoma"/>
            <family val="2"/>
          </rPr>
          <t>Secant</t>
        </r>
        <r>
          <rPr>
            <sz val="10"/>
            <color indexed="81"/>
            <rFont val="Tahoma"/>
            <family val="2"/>
          </rPr>
          <t xml:space="preserve">-based (not Tangent) ARPS equation is used to calculate future production in monthly increments, starting with January of the current year.  The first 12 months are totaled as year 1 production, the second 12 months as year 2 production, etc.;  therefore, </t>
        </r>
        <r>
          <rPr>
            <u/>
            <sz val="10"/>
            <color indexed="81"/>
            <rFont val="Tahoma"/>
            <family val="2"/>
          </rPr>
          <t>the hyperbolic input parameters must correspond to January 1 of the current year</t>
        </r>
        <r>
          <rPr>
            <sz val="10"/>
            <color indexed="81"/>
            <rFont val="Tahoma"/>
            <family val="2"/>
          </rPr>
          <t xml:space="preserve">.  
Commonly accepted theoretical b values for single porosity reservoirs with good drive energy usually range between 0 and 1. Reservoirs with duel porosity, multi-porosity, fracture stimulated or poor reservoir drive energy (i.e. only gravity drainage) will demonstrate larger b factors but seldom go above 2.0 or 2.5.  Exponential and Harmonic declines are specific types of hyperbolic declines where the b factor is equal to 0 for exponential declines or equal to 1 for Harmonic declines.
At the user's option, a specified terminal annual decline rate will limit the effective annual decline to no less than the terminal decline rate - i.e., stop the decline curve from flattening out any further.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Rodney Kret</author>
  </authors>
  <commentList>
    <comment ref="M7" authorId="0" shapeId="0" xr:uid="{69D3BFCC-A7C3-4A7A-BE92-A397691F032A}">
      <text>
        <r>
          <rPr>
            <sz val="11"/>
            <color indexed="81"/>
            <rFont val="Tahoma"/>
            <family val="2"/>
          </rPr>
          <t>For primary commodity (oil or gas)</t>
        </r>
      </text>
    </comment>
    <comment ref="M8" authorId="0" shapeId="0" xr:uid="{C1064D6D-915F-4E53-B107-486313E07D44}">
      <text>
        <r>
          <rPr>
            <sz val="11"/>
            <color indexed="81"/>
            <rFont val="Tahoma"/>
            <family val="2"/>
          </rPr>
          <t>For primary commodity (oil or gas)</t>
        </r>
      </text>
    </comment>
    <comment ref="M9" authorId="0" shapeId="0" xr:uid="{65593B01-8121-448A-B605-DA74CA940C74}">
      <text>
        <r>
          <rPr>
            <sz val="11"/>
            <color indexed="81"/>
            <rFont val="Tahoma"/>
            <family val="2"/>
          </rPr>
          <t>For primary commodity (oil or gas).</t>
        </r>
      </text>
    </comment>
  </commentList>
</comments>
</file>

<file path=xl/sharedStrings.xml><?xml version="1.0" encoding="utf-8"?>
<sst xmlns="http://schemas.openxmlformats.org/spreadsheetml/2006/main" count="473" uniqueCount="337">
  <si>
    <t>Discount Factor</t>
  </si>
  <si>
    <t xml:space="preserve">Tax Year: </t>
  </si>
  <si>
    <t>Discounted Cash Flow Analysis for Ad Valorem Tax Purposes (Louisiana)</t>
  </si>
  <si>
    <t xml:space="preserve">Oil start rate on Jan. 1 (bopd): </t>
  </si>
  <si>
    <t xml:space="preserve">Gas start rate on Jan. 1 (mcfpd): </t>
  </si>
  <si>
    <t xml:space="preserve">Ad valorem tax allowance (%): </t>
  </si>
  <si>
    <t xml:space="preserve">Oil severance tax allowance (%): </t>
  </si>
  <si>
    <t xml:space="preserve">Gas severance tax allowance (%): </t>
  </si>
  <si>
    <t>Forecasted Gas Prod. Decline</t>
  </si>
  <si>
    <t>Forecasted Oil Prod. Decline</t>
  </si>
  <si>
    <t xml:space="preserve">Discount Factor: </t>
  </si>
  <si>
    <t>Property Name:</t>
  </si>
  <si>
    <t>Totals:</t>
  </si>
  <si>
    <t>Operator:</t>
  </si>
  <si>
    <t>Max =</t>
  </si>
  <si>
    <t>8/8 Oil Production      (bbls)</t>
  </si>
  <si>
    <t>Oil Price      ($/bbl)</t>
  </si>
  <si>
    <t>Gross Gas Revenue                (WI)</t>
  </si>
  <si>
    <t>Total Gross Revenue                (WI)</t>
  </si>
  <si>
    <t>Capital Expenditures           (WI)</t>
  </si>
  <si>
    <t>Future           Year</t>
  </si>
  <si>
    <t xml:space="preserve">Onshore/Offshore: </t>
  </si>
  <si>
    <t>Oil decline rate 1 (%):</t>
  </si>
  <si>
    <t>Oil decline rate 2 (%):</t>
  </si>
  <si>
    <t>Oil decline rate 3 (%):</t>
  </si>
  <si>
    <t>Gas decline rate 1 (%):</t>
  </si>
  <si>
    <t>Gas decline rate 2 (%):</t>
  </si>
  <si>
    <t>Gas decline rate 3 (%):</t>
  </si>
  <si>
    <t>PROPERTY IDENTIFICATION</t>
  </si>
  <si>
    <t>GAS PRODUCTION FORECAST</t>
  </si>
  <si>
    <t>PREVIOUS YEAR PRICES AND TAX ALLOWANCES</t>
  </si>
  <si>
    <t xml:space="preserve">Discount rate for oil lease DCF (%): </t>
  </si>
  <si>
    <t xml:space="preserve">Discount rate for gas lease DCF (%): </t>
  </si>
  <si>
    <t>Oil price escalation, Year 1</t>
  </si>
  <si>
    <t>Oil price escalation, Year 2</t>
  </si>
  <si>
    <t>Oil price escalation, Year 3</t>
  </si>
  <si>
    <t>Oil price escalation, Year 4</t>
  </si>
  <si>
    <t>Oil price escalation, Year 5</t>
  </si>
  <si>
    <t>Gas price escalation, Year 1</t>
  </si>
  <si>
    <t>Gas price escalation, Year 2</t>
  </si>
  <si>
    <t>Gas price escalation, Year 3</t>
  </si>
  <si>
    <t>Gas price escalation, Year 4</t>
  </si>
  <si>
    <t>Gas price escalation, Year 5</t>
  </si>
  <si>
    <t>$/FOOT</t>
  </si>
  <si>
    <t xml:space="preserve">AVERAGE DEPTH? </t>
  </si>
  <si>
    <t xml:space="preserve">ONSHORE OR OFFSHORE? </t>
  </si>
  <si>
    <t>Gross Oil Revenue                (WI)</t>
  </si>
  <si>
    <t>Future Net Income                (WI)</t>
  </si>
  <si>
    <t>Total Operating Expenses                    (WI)</t>
  </si>
  <si>
    <t>Direct Operating Expenses               (WI)</t>
  </si>
  <si>
    <t>Gas Price ($/mcf)</t>
  </si>
  <si>
    <t>8/8 Gas Production        (mcf)</t>
  </si>
  <si>
    <t xml:space="preserve">NUMBER OF WELLS: </t>
  </si>
  <si>
    <t>UPPER LIMIT</t>
  </si>
  <si>
    <t>LOWER LIMIT</t>
  </si>
  <si>
    <t>$/foot equip value, onshore depth interval 1:</t>
  </si>
  <si>
    <t>$/foot equip value, onshore depth interval 2:</t>
  </si>
  <si>
    <t>$/foot equip value, onshore depth interval 3:</t>
  </si>
  <si>
    <t>$/foot equip value, onshore depth interval 4:</t>
  </si>
  <si>
    <t>$/foot equip value, all offshore depths:</t>
  </si>
  <si>
    <t>Upper range of onshore depth interval 1</t>
  </si>
  <si>
    <t>Upper range of onshore depth interval 2</t>
  </si>
  <si>
    <t>Upper range of onshore depth interval 3</t>
  </si>
  <si>
    <t>Upper range of onshore depth interval 4</t>
  </si>
  <si>
    <t>Upper range of all offshore depths:</t>
  </si>
  <si>
    <t xml:space="preserve">Direct operating expense (amount): </t>
  </si>
  <si>
    <t xml:space="preserve">Discount rate for leasehold equip value (%): </t>
  </si>
  <si>
    <t>OPTIONAL LIMITATIONS FOR DCF</t>
  </si>
  <si>
    <t xml:space="preserve">DCF VALUE  FOR WELLS:  </t>
  </si>
  <si>
    <t xml:space="preserve">TOTAL VALUE:  </t>
  </si>
  <si>
    <t>SUBJECT PROPERTY</t>
  </si>
  <si>
    <t xml:space="preserve">MINIMUM LEASEHOLD EQUIP VALUE (UNDISCOUNTED): </t>
  </si>
  <si>
    <t>Discounted Future       Net Income                                 (WI)</t>
  </si>
  <si>
    <t>Discounted Future         Net Income                                 (WI)</t>
  </si>
  <si>
    <t xml:space="preserve">Undiscounted Leasehold Equip Value: </t>
  </si>
  <si>
    <t xml:space="preserve">Discounted Leasehold Equipment Value: </t>
  </si>
  <si>
    <t xml:space="preserve">Total Estimated Market Value: </t>
  </si>
  <si>
    <t xml:space="preserve">ECONOMIC LIFE (YRS):  </t>
  </si>
  <si>
    <t xml:space="preserve">WI PAYOUT (YRS):  </t>
  </si>
  <si>
    <t>Cumul. Future Net Income</t>
  </si>
  <si>
    <t>Fractional Years</t>
  </si>
  <si>
    <t>Full Years</t>
  </si>
  <si>
    <t>= years payout</t>
  </si>
  <si>
    <t>= Oil Reserves</t>
  </si>
  <si>
    <t>= Gas Reserves</t>
  </si>
  <si>
    <t xml:space="preserve">OIL RESERVES (BBLS):  </t>
  </si>
  <si>
    <t xml:space="preserve">GAS RESERVES (MCFS):  </t>
  </si>
  <si>
    <t>of total revenue</t>
  </si>
  <si>
    <t>EXPENSE FORECAST</t>
  </si>
  <si>
    <t>RESULTS OF DCF APPRAISAL REPORT</t>
  </si>
  <si>
    <t>OPERATING EXPENSE FORECAST, INCLUDING OPTIONAL CAPITAL EXPENDITURES</t>
  </si>
  <si>
    <t>Capital Expense A (optional) (amount):</t>
  </si>
  <si>
    <t>Capital Expense B (optional) (amount):</t>
  </si>
  <si>
    <t>Capital Expense C (optional) (amount):</t>
  </si>
  <si>
    <t>Capital Expense D (optional) (amount):</t>
  </si>
  <si>
    <t>Capital Expense E (optional) (amount):</t>
  </si>
  <si>
    <t>Capital Expense F (optional) (amount):</t>
  </si>
  <si>
    <t>Capital Expense G (optional) (amount):</t>
  </si>
  <si>
    <t>Capital Expense H (optional) (amount):</t>
  </si>
  <si>
    <t>Capital Expense I (optional) (amount):</t>
  </si>
  <si>
    <t>Capital Expense J (optional) (amount):</t>
  </si>
  <si>
    <t>LUW Code:</t>
  </si>
  <si>
    <t>Parish ID1:</t>
  </si>
  <si>
    <t>Parish ID2:</t>
  </si>
  <si>
    <t>Well Serial Number:</t>
  </si>
  <si>
    <t>Well Number:</t>
  </si>
  <si>
    <t xml:space="preserve">Economic Life (years): </t>
  </si>
  <si>
    <t xml:space="preserve">WI Payout (years): </t>
  </si>
  <si>
    <t xml:space="preserve">Expense Burden (% of gross revenue): </t>
  </si>
  <si>
    <t>Horizontal Well(s)?</t>
  </si>
  <si>
    <t xml:space="preserve">Average total depth of wells (feet): </t>
  </si>
  <si>
    <t xml:space="preserve">Avg Depth (feet): </t>
  </si>
  <si>
    <t xml:space="preserve">Number of Wells: </t>
  </si>
  <si>
    <t>DISCOUNTED INCOME</t>
  </si>
  <si>
    <t>OIL PRODUCTION FORECAST AND REVENUE</t>
  </si>
  <si>
    <t>GAS PRODUCTION FORECAST AND REVENUE</t>
  </si>
  <si>
    <t>Oil decline rate 1 (no. of years effective):</t>
  </si>
  <si>
    <t>Oil decline rate 2 (no. of years effective):</t>
  </si>
  <si>
    <t>Oil decline rate 3 (no. of years effective):</t>
  </si>
  <si>
    <t>Gas decline rate 1 (no. of years effective):</t>
  </si>
  <si>
    <t>Gas decline rate 2 (no. of years effective):</t>
  </si>
  <si>
    <t>Gas decline rate 3 (no. of years effective):</t>
  </si>
  <si>
    <t>Max remaining bbls reserves (optional):</t>
  </si>
  <si>
    <t>Max remaining MCFs reserves (optional):</t>
  </si>
  <si>
    <t xml:space="preserve">Max years for DCF (optional): </t>
  </si>
  <si>
    <t>Max bbls reserves (optional):</t>
  </si>
  <si>
    <t>Max MCFs reserves (optional):</t>
  </si>
  <si>
    <t xml:space="preserve">Working Interest: </t>
  </si>
  <si>
    <t xml:space="preserve">Total Working Interest (decimal): </t>
  </si>
  <si>
    <t xml:space="preserve">Type (Oil/Gas): </t>
  </si>
  <si>
    <t>OIL AND GAS WELL/LEASE/FIELD APPRAISAL REPORT</t>
  </si>
  <si>
    <t xml:space="preserve">Oil Start Rate on Jan. 1 (bopd): </t>
  </si>
  <si>
    <t xml:space="preserve">Gas Start Rate on Jan. 1 (mcfpd): </t>
  </si>
  <si>
    <t xml:space="preserve">Prev. year avg Oil Price ($/bbl): </t>
  </si>
  <si>
    <t xml:space="preserve">Prev. year avg Gas Price ($/mcf): </t>
  </si>
  <si>
    <t>Effective Year for Capex A</t>
  </si>
  <si>
    <t>Effective Year for Capex B</t>
  </si>
  <si>
    <t>Effective Year for Capex C</t>
  </si>
  <si>
    <t>Effective Year for Capex D</t>
  </si>
  <si>
    <t>Effective Year for Capex E</t>
  </si>
  <si>
    <t>Effective Year for Capex F</t>
  </si>
  <si>
    <t>Effective Year for Capex H</t>
  </si>
  <si>
    <t>Effective Year for Capex I</t>
  </si>
  <si>
    <t>Effective Year for Capex J</t>
  </si>
  <si>
    <t>Effective Year for Capex G</t>
  </si>
  <si>
    <t xml:space="preserve">MIN LEASEHOLD EQUIPMENT VALUE:  </t>
  </si>
  <si>
    <t>INPUT DATA / PARAMETERS BY LTC RULES &amp; REGULATIONS</t>
  </si>
  <si>
    <t>EXPENSE BURDEN (% OF GROSS REVENUE):</t>
  </si>
  <si>
    <t xml:space="preserve"> </t>
  </si>
  <si>
    <t>WARD:</t>
  </si>
  <si>
    <t>WELLS INCLUDED IN THIS ASSESSMENT</t>
  </si>
  <si>
    <t>Well Serial Number</t>
  </si>
  <si>
    <t>Lease Well Number</t>
  </si>
  <si>
    <t>LUW Code</t>
  </si>
  <si>
    <t>Total Depth (In Feet)</t>
  </si>
  <si>
    <t xml:space="preserve">PERSONAL PROPERTY NOT INCLUDED IN PRODUCTION TRAIN ON LOCATION </t>
  </si>
  <si>
    <t>YEAR OF ACQUISITION</t>
  </si>
  <si>
    <t>ACQUISITION COST</t>
  </si>
  <si>
    <t>PROPERTY DESCRIPTION</t>
  </si>
  <si>
    <t>CATEGORY</t>
  </si>
  <si>
    <t>DEPRECIATION</t>
  </si>
  <si>
    <t>FAIR MARKET VALUE</t>
  </si>
  <si>
    <t>CONSIGNED GOODS, LEASE, LOANED, OR RENTED EQUIPMENT, FURNITURE, ETC.</t>
  </si>
  <si>
    <t>NAME AND ADDRESS</t>
  </si>
  <si>
    <t>AGE</t>
  </si>
  <si>
    <t>PRESENT SELLING PRICE</t>
  </si>
  <si>
    <t>LAT 12 --- ATTACHMENT A</t>
  </si>
  <si>
    <t>PRODUCTION DATA</t>
  </si>
  <si>
    <t>Year/Month</t>
  </si>
  <si>
    <t>Oil Wells</t>
  </si>
  <si>
    <t>Gas Wells</t>
  </si>
  <si>
    <t>MCF Gas</t>
  </si>
  <si>
    <t>2022/01</t>
  </si>
  <si>
    <t xml:space="preserve">Yes </t>
  </si>
  <si>
    <t>No</t>
  </si>
  <si>
    <t xml:space="preserve">Type (OIL/GAS): </t>
  </si>
  <si>
    <t>ONSHORE or OFFSHORE?</t>
  </si>
  <si>
    <t>PARISH:</t>
  </si>
  <si>
    <r>
      <rPr>
        <sz val="8"/>
        <rFont val="Calibri"/>
        <family val="2"/>
        <scheme val="minor"/>
      </rPr>
      <t xml:space="preserve">LOCATION:
SECTION  </t>
    </r>
    <r>
      <rPr>
        <u/>
        <sz val="8"/>
        <rFont val="Calibri"/>
        <family val="2"/>
        <scheme val="minor"/>
      </rPr>
      <t>          </t>
    </r>
    <r>
      <rPr>
        <sz val="8"/>
        <rFont val="Calibri"/>
        <family val="2"/>
        <scheme val="minor"/>
      </rPr>
      <t xml:space="preserve">TOWNSHIP </t>
    </r>
    <r>
      <rPr>
        <u/>
        <sz val="8"/>
        <rFont val="Calibri"/>
        <family val="2"/>
        <scheme val="minor"/>
      </rPr>
      <t>           </t>
    </r>
    <r>
      <rPr>
        <sz val="8"/>
        <rFont val="Calibri"/>
        <family val="2"/>
        <scheme val="minor"/>
      </rPr>
      <t xml:space="preserve">RANGE </t>
    </r>
    <r>
      <rPr>
        <u/>
        <sz val="8"/>
        <rFont val="Calibri"/>
        <family val="2"/>
        <scheme val="minor"/>
      </rPr>
      <t>           </t>
    </r>
  </si>
  <si>
    <t>LAT 12 FILING BASIS (Well, LUW, Field):</t>
  </si>
  <si>
    <t>MONTHLY          RENTAL</t>
  </si>
  <si>
    <t>Well Type                (Oil,Gas,Service)</t>
  </si>
  <si>
    <t xml:space="preserve"> SIGNATURE OF TAXPAYER</t>
  </si>
  <si>
    <t xml:space="preserve"> PRINTED/TYPED NAME OF TAXPAYER</t>
  </si>
  <si>
    <t xml:space="preserve"> DATE</t>
  </si>
  <si>
    <t xml:space="preserve"> SIGNATURE OF PREPARER</t>
  </si>
  <si>
    <t xml:space="preserve"> PRINTED/TYPED NAME OF PREPARER</t>
  </si>
  <si>
    <t>/02</t>
  </si>
  <si>
    <t>/03</t>
  </si>
  <si>
    <t>/04</t>
  </si>
  <si>
    <t>/05</t>
  </si>
  <si>
    <t>/06</t>
  </si>
  <si>
    <t>/07</t>
  </si>
  <si>
    <t>/08</t>
  </si>
  <si>
    <t>/09</t>
  </si>
  <si>
    <t>/10</t>
  </si>
  <si>
    <t>/11</t>
  </si>
  <si>
    <t>/12</t>
  </si>
  <si>
    <t>BBLS Oil</t>
  </si>
  <si>
    <t>BBLS Condensate</t>
  </si>
  <si>
    <t xml:space="preserve"> Property Name:</t>
  </si>
  <si>
    <t xml:space="preserve"> Operator:</t>
  </si>
  <si>
    <t xml:space="preserve"> RETURN TO:</t>
  </si>
  <si>
    <t xml:space="preserve"> ASSESSMENT NO.:</t>
  </si>
  <si>
    <t xml:space="preserve"> Name / Address (Indicate any changes):</t>
  </si>
  <si>
    <t xml:space="preserve"> FIELD NAME AND CODE NUMBER:</t>
  </si>
  <si>
    <r>
      <rPr>
        <u/>
        <sz val="8"/>
        <color rgb="FF800000"/>
        <rFont val="Calibri"/>
        <family val="2"/>
        <scheme val="minor"/>
      </rPr>
      <t>LEGAL CITATION AND INSTRUCTIONS</t>
    </r>
    <r>
      <rPr>
        <sz val="8"/>
        <color rgb="FF800000"/>
        <rFont val="Calibri"/>
        <family val="2"/>
        <scheme val="minor"/>
      </rPr>
      <t>:  THIS REPORT SHALL BE FILED WITH THE ASSESSOR OF THE PARISH INDICATED BY APRIL 1</t>
    </r>
    <r>
      <rPr>
        <vertAlign val="superscript"/>
        <sz val="8"/>
        <color rgb="FF800000"/>
        <rFont val="Calibri"/>
        <family val="2"/>
        <scheme val="minor"/>
      </rPr>
      <t>ST</t>
    </r>
    <r>
      <rPr>
        <sz val="8"/>
        <color rgb="FF800000"/>
        <rFont val="Calibri"/>
        <family val="2"/>
        <scheme val="minor"/>
      </rPr>
      <t xml:space="preserve"> OR WITHIN 45 DAYS AFTER RECEIPT, WHICHEVER IS LATER, IN ACCORDANCE WITH RS 47:2324.</t>
    </r>
  </si>
  <si>
    <r>
      <rPr>
        <b/>
        <sz val="8"/>
        <color rgb="FF800000"/>
        <rFont val="Calibri"/>
        <family val="2"/>
        <scheme val="minor"/>
      </rPr>
      <t>CONFIDENTIAL</t>
    </r>
    <r>
      <rPr>
        <sz val="8"/>
        <color rgb="FF800000"/>
        <rFont val="Calibri"/>
        <family val="2"/>
        <scheme val="minor"/>
      </rPr>
      <t>:      (RS   47:2327)   FORMS  FILED BY A TAXPAYER SHALL BE USED BY THE ASSESSOR, THE GOVERNING AUTHORITY, AND THE LOUISIANA TAX COMMISSION SOLELY FOR THE PURPOSE OF ADMINISTERING THIS STATUTE.</t>
    </r>
  </si>
  <si>
    <t xml:space="preserve"> OWNER/PERSON TO CONTACT:</t>
  </si>
  <si>
    <t xml:space="preserve"> PHONE:</t>
  </si>
  <si>
    <t>SIGNATURE AND VERIFICATION</t>
  </si>
  <si>
    <r>
      <rPr>
        <b/>
        <sz val="10"/>
        <color rgb="FFFF0000"/>
        <rFont val="Calibri"/>
        <family val="2"/>
        <scheme val="minor"/>
      </rPr>
      <t xml:space="preserve">NEED  ASSISTANCE?    </t>
    </r>
    <r>
      <rPr>
        <sz val="10"/>
        <color rgb="FFFF0000"/>
        <rFont val="Calibri"/>
        <family val="2"/>
        <scheme val="minor"/>
      </rPr>
      <t>AFTER YOU REVIEW THE ENCLOSED TAX FORM  AND YOU FEEL YOU NEED ASSISTANCE,  PLEASE CALL YOUR ASSESSOR LISTED ABOVE.</t>
    </r>
  </si>
  <si>
    <t>PENALTIES FOR FAILURE TO FILE THIS FORM INCLUDE WAIVER OF RIGHTS TO APPEAL YOUR ASSESSMENT AND MAY INCLUDE A MONETARY PENALTY (RS 47:1992 &amp; 2330)</t>
  </si>
  <si>
    <r>
      <t xml:space="preserve">“I declare under the penalties for filing false reports (R.S. 14:125; up to $500.00 fine or imprisonment for one year or both, plus additional penalties defined in Act 2330B of the 1989 Regular Session) that this return has been examined by me and to the best of my knowledge and belief is a true, correct and complete return.”  </t>
    </r>
    <r>
      <rPr>
        <sz val="10"/>
        <rFont val="Calibri"/>
        <family val="2"/>
        <scheme val="minor"/>
      </rPr>
      <t>If this return is prepared by someone other than the taxpayer, authorized officer, or partner, this form must be notarized.</t>
    </r>
  </si>
  <si>
    <t>TOTAL FAIR MARKET VALUE:</t>
  </si>
  <si>
    <t>ASSESSED VALUE:</t>
  </si>
  <si>
    <t xml:space="preserve"> *** If additional lines are required, please attach more pages ***</t>
  </si>
  <si>
    <t>9999/99-55</t>
  </si>
  <si>
    <t>EXAMPLE LEASE</t>
  </si>
  <si>
    <t>EXAMPLE OPERATOR</t>
  </si>
  <si>
    <t>OIL</t>
  </si>
  <si>
    <t>ONSHORE</t>
  </si>
  <si>
    <r>
      <rPr>
        <sz val="8"/>
        <color rgb="FF800000"/>
        <rFont val="Tahoma"/>
        <family val="2"/>
      </rPr>
      <t xml:space="preserve">
</t>
    </r>
    <r>
      <rPr>
        <b/>
        <sz val="11"/>
        <rFont val="Tahoma"/>
        <family val="2"/>
      </rPr>
      <t>LAT 12                PERSONAL PROPERTY REPORT – OIL AND GAS PROPERTY                   YEAR:</t>
    </r>
  </si>
  <si>
    <t>USE ATTACHMENTS IF NECESSARY</t>
  </si>
  <si>
    <t>Is casinghead gas being sold?</t>
  </si>
  <si>
    <t>Is this LUW completely shut-in?</t>
  </si>
  <si>
    <t>Oil price escalation, thereafter</t>
  </si>
  <si>
    <t>Gas price escalation, thereafter</t>
  </si>
  <si>
    <t>FOR REFERENCE PURPOSES ONLY:</t>
  </si>
  <si>
    <t xml:space="preserve"> ------&gt;</t>
  </si>
  <si>
    <t>Oil decline rate 4 (%):</t>
  </si>
  <si>
    <t>Oil decline rate 5 (%):</t>
  </si>
  <si>
    <t xml:space="preserve">Number of producing wells: </t>
  </si>
  <si>
    <t>Oil decline rate 4 (no. of years effective):</t>
  </si>
  <si>
    <t>Oil decline rate 5 (no. of years effective):</t>
  </si>
  <si>
    <t>Gas decline rate 4 (%):</t>
  </si>
  <si>
    <t>Gas decline rate 5 (%):</t>
  </si>
  <si>
    <t>Gas decline rate 4 (no. of years effective):</t>
  </si>
  <si>
    <t>Gas decline rate 5 (no. of years effective):</t>
  </si>
  <si>
    <t>INPUT DATA - PARAMETERS FOR SUBJECT PROPERTY</t>
  </si>
  <si>
    <t>c)  Use the three input parameters below (in yellow background) from Aries results box for AS400 entry.</t>
  </si>
  <si>
    <t>monthly</t>
  </si>
  <si>
    <t>b</t>
  </si>
  <si>
    <t>CALCULATONS FOR PARAMETERS ABOVE:</t>
  </si>
  <si>
    <t>YEAR</t>
  </si>
  <si>
    <t>Future Month (t) in Hyperbolic Formula</t>
  </si>
  <si>
    <t>Future Month's Production  (Qbeg in Aries)</t>
  </si>
  <si>
    <t>Annual Production by Hyperbolic Formula (sum of 12 months)</t>
  </si>
  <si>
    <t>Year</t>
  </si>
  <si>
    <t>Production per Modified Hyp.</t>
  </si>
  <si>
    <t>Effective Decline</t>
  </si>
  <si>
    <t>Dec to Dec Annual Production Decline</t>
  </si>
  <si>
    <t>a)  Peform hyperbolic or harmonic curve fit in Landmark Aries or other app.</t>
  </si>
  <si>
    <t>=  Start rate ("Qbeg" in Aries results box, either monthly or daily terms).</t>
  </si>
  <si>
    <t>=  Monthly/Daily indicator for start rate (M or D).</t>
  </si>
  <si>
    <t>=  Initial decline rate, percentage ("De" in Aries at Qbeg).</t>
  </si>
  <si>
    <t>=  Terminal annual decline rate, percentage (optional)</t>
  </si>
  <si>
    <t>D</t>
  </si>
  <si>
    <t>M (monthly) or D (daily):</t>
  </si>
  <si>
    <t>OIL PRODUCTION FORECAST                      (exponential segments)</t>
  </si>
  <si>
    <t>SUBJECT PROPERTY DATA</t>
  </si>
  <si>
    <t>Initial decline rate (%):</t>
  </si>
  <si>
    <t>Terminal decline rate (%) (optional):</t>
  </si>
  <si>
    <t>Gas start rate (monthly or daily mcf):</t>
  </si>
  <si>
    <t>Oil start rate (monthly or daily bbls):</t>
  </si>
  <si>
    <t xml:space="preserve">     Hyperbolic production calculations for GAS     </t>
  </si>
  <si>
    <t xml:space="preserve">     Hyperbolic production calculations for OIL     </t>
  </si>
  <si>
    <r>
      <t xml:space="preserve">b)  The input parameters below must correspond to </t>
    </r>
    <r>
      <rPr>
        <u/>
        <sz val="11"/>
        <color rgb="FF757171"/>
        <rFont val="Tahoma"/>
        <family val="2"/>
      </rPr>
      <t>current January!</t>
    </r>
  </si>
  <si>
    <r>
      <t>q</t>
    </r>
    <r>
      <rPr>
        <b/>
        <vertAlign val="subscript"/>
        <sz val="16"/>
        <color rgb="FF757171"/>
        <rFont val="Serifa BT"/>
        <family val="1"/>
      </rPr>
      <t>i</t>
    </r>
  </si>
  <si>
    <r>
      <t>q</t>
    </r>
    <r>
      <rPr>
        <vertAlign val="subscript"/>
        <sz val="10"/>
        <color rgb="FF757171"/>
        <rFont val="Tahoma"/>
        <family val="2"/>
      </rPr>
      <t>ie</t>
    </r>
  </si>
  <si>
    <r>
      <t>d</t>
    </r>
    <r>
      <rPr>
        <b/>
        <vertAlign val="subscript"/>
        <sz val="16"/>
        <color rgb="FF757171"/>
        <rFont val="Serifa BT"/>
        <family val="1"/>
      </rPr>
      <t>i</t>
    </r>
  </si>
  <si>
    <r>
      <t>t</t>
    </r>
    <r>
      <rPr>
        <vertAlign val="subscript"/>
        <sz val="10"/>
        <color rgb="FF757171"/>
        <rFont val="Tahoma"/>
        <family val="2"/>
      </rPr>
      <t>ie</t>
    </r>
  </si>
  <si>
    <r>
      <t>d</t>
    </r>
    <r>
      <rPr>
        <b/>
        <vertAlign val="subscript"/>
        <sz val="16"/>
        <color rgb="FF757171"/>
        <rFont val="Serifa BT"/>
        <family val="1"/>
      </rPr>
      <t>t</t>
    </r>
  </si>
  <si>
    <r>
      <t xml:space="preserve">Solve for </t>
    </r>
    <r>
      <rPr>
        <b/>
        <sz val="14"/>
        <color rgb="FF757171"/>
        <rFont val="Serifa BT"/>
        <family val="1"/>
      </rPr>
      <t>q</t>
    </r>
    <r>
      <rPr>
        <b/>
        <vertAlign val="subscript"/>
        <sz val="14"/>
        <color rgb="FF757171"/>
        <rFont val="Serifa BT"/>
        <family val="1"/>
      </rPr>
      <t>t</t>
    </r>
    <r>
      <rPr>
        <sz val="11"/>
        <color rgb="FF757171"/>
        <rFont val="Tahoma"/>
        <family val="2"/>
      </rPr>
      <t xml:space="preserve"> = monthly production at time</t>
    </r>
    <r>
      <rPr>
        <b/>
        <sz val="14"/>
        <color rgb="FF757171"/>
        <rFont val="Serifa BT"/>
        <family val="1"/>
      </rPr>
      <t xml:space="preserve"> t</t>
    </r>
    <r>
      <rPr>
        <sz val="11"/>
        <color rgb="FF757171"/>
        <rFont val="Tahoma"/>
        <family val="2"/>
      </rPr>
      <t xml:space="preserve"> (future month):</t>
    </r>
  </si>
  <si>
    <r>
      <t>q</t>
    </r>
    <r>
      <rPr>
        <b/>
        <vertAlign val="subscript"/>
        <sz val="16"/>
        <color rgb="FF757171"/>
        <rFont val="Serifa BT"/>
        <family val="1"/>
      </rPr>
      <t>t</t>
    </r>
    <r>
      <rPr>
        <b/>
        <sz val="16"/>
        <color rgb="FF757171"/>
        <rFont val="Serifa BT"/>
        <family val="1"/>
      </rPr>
      <t xml:space="preserve"> </t>
    </r>
    <r>
      <rPr>
        <b/>
        <sz val="12"/>
        <color rgb="FF757171"/>
        <rFont val="Serifa BT"/>
        <family val="1"/>
      </rPr>
      <t xml:space="preserve">=    </t>
    </r>
  </si>
  <si>
    <r>
      <t>(1 + t/12 [(1-d</t>
    </r>
    <r>
      <rPr>
        <b/>
        <vertAlign val="subscript"/>
        <sz val="16"/>
        <color rgb="FF757171"/>
        <rFont val="Serifa BT"/>
        <family val="1"/>
      </rPr>
      <t>i</t>
    </r>
    <r>
      <rPr>
        <b/>
        <sz val="12"/>
        <color rgb="FF757171"/>
        <rFont val="Serifa BT"/>
        <family val="1"/>
      </rPr>
      <t>)</t>
    </r>
    <r>
      <rPr>
        <b/>
        <vertAlign val="superscript"/>
        <sz val="16"/>
        <color rgb="FF757171"/>
        <rFont val="Serifa BT"/>
        <family val="1"/>
      </rPr>
      <t>-b</t>
    </r>
    <r>
      <rPr>
        <b/>
        <sz val="12"/>
        <color rgb="FF757171"/>
        <rFont val="Serifa BT"/>
        <family val="1"/>
      </rPr>
      <t xml:space="preserve"> - 1])</t>
    </r>
    <r>
      <rPr>
        <b/>
        <vertAlign val="superscript"/>
        <sz val="16"/>
        <color rgb="FF757171"/>
        <rFont val="Serifa BT"/>
        <family val="1"/>
      </rPr>
      <t>1/b</t>
    </r>
  </si>
  <si>
    <t>Hyperbolic initial decline rate (%):</t>
  </si>
  <si>
    <t>Hyperbolic terminal decline (%):</t>
  </si>
  <si>
    <t>Use Hyperbolic parameters? (Y/N)</t>
  </si>
  <si>
    <t>N</t>
  </si>
  <si>
    <t>Horizontal Well(s)?  (Y/N)</t>
  </si>
  <si>
    <r>
      <t xml:space="preserve">OIL AND GAS PRICE FORECAST SCENARIO             </t>
    </r>
    <r>
      <rPr>
        <b/>
        <sz val="12"/>
        <color theme="1"/>
        <rFont val="Tahoma"/>
        <family val="2"/>
      </rPr>
      <t>(FORMERLY  TABLE 907.D-1)</t>
    </r>
  </si>
  <si>
    <r>
      <t xml:space="preserve">DISCOUNT RATES                </t>
    </r>
    <r>
      <rPr>
        <b/>
        <sz val="12"/>
        <color theme="1"/>
        <rFont val="Tahoma"/>
        <family val="2"/>
      </rPr>
      <t>(CURRENT R&amp;R TABLE 907.C-1)</t>
    </r>
  </si>
  <si>
    <r>
      <t xml:space="preserve">MINIMUM LEASEHOLD EQUIPMENT VALUE                                     </t>
    </r>
    <r>
      <rPr>
        <b/>
        <sz val="12"/>
        <color theme="1"/>
        <rFont val="Tahoma"/>
        <family val="2"/>
      </rPr>
      <t>(CURRENT R&amp;R TABLE 907.C-2)</t>
    </r>
  </si>
  <si>
    <t>The subject property of this appraisal is one or more oil and gas wells.  Maximum number of forecast years in this model is 25.  All figures for any forecast year in which WI net income is negative (gross revenue less direct operating expense) are not displayed;  the Totals line includes results only from the forecast years with positive WI net income.  All forecasted production decline rates are assumed to extend for full calendar years;  therefore, production forecasted for any particular year is derivd by a combination of the decline rates in effect for the last half of the previous year and the first half of the year in question (these two rates might be equal).  If hyperbolic production forecasting is used, the input parameters are shown only for the priimary commodity, and the production declines shown are back-calculated results for reference only.  Gross revenue include allowances for state (severance) and local (ad valorem) taxes.  No allowance is made for federal income tax liability, if any.  Total economically viable production as forecasted with this dcf appraisal represents the estimated Reserves for the subject property, and total number of years forecasted to have positive WI net income represents the estimated Economic Life for the subject property, as of the effective date of this appraisal.  Total discounted future net income represents estimated Fair Market Value for the subject property, to the extent this figure is greater than discounted leasehold equipment value.  Otherwise, discounted leasehold equipment value represents Fair Market Value for the subject property.</t>
  </si>
  <si>
    <t>Note: Commonly accepted theoretical b values for single porosity reservoirs with good drive energy usually range between 0 and 1. Reservoirs with duel porosity, multi-porosity, fracture stimulated or poor reservoir drive energy (i.e. only gravity drainage) will demonstrate larger b factors but seldom go above 2.0 or 2.5.  Exponential and Harmonic declines are specific types of hyperbolic declines where the b factor is equal to 0 for exponential declines or equal to 1 for Harmonic declines.</t>
  </si>
  <si>
    <t>=  Hyperbolic exponent factor ("b" in Aries).</t>
  </si>
  <si>
    <t>IN THIS SPREADSHEET the ARPS formula above is using a SECANT based (not Tangent) decline curve methodology to calculate future production in monthly increments, starting with January of the current year.  Twelve months at a time are totaled to derive yearly production figures for the dcf (i.e., the first 12 months is year 1 production, the 2nd 12 months is year 2 production, etc.).  At the user's option, a specified terminal annual decline rate will limit the effective annual decline to no less than the terminal decline rate - i.e., stop the decline curve from flattening out any further.  Using a hyperbolic production forecast will be an "either/or" alternative to using segmented declines for that commodity (oil, gas, products).</t>
  </si>
  <si>
    <t>Hyperbolic exponent "b" factor:</t>
  </si>
  <si>
    <t xml:space="preserve"> (hyperbolic decline curve in lieu of segments)</t>
  </si>
  <si>
    <t xml:space="preserve">Prev Yr Avg Oil Price ($/bbl): </t>
  </si>
  <si>
    <t xml:space="preserve">Prev Yr Avg Gas Price ($/mcf): </t>
  </si>
  <si>
    <t>Full Rate</t>
  </si>
  <si>
    <t>12.5 percent of value</t>
  </si>
  <si>
    <t>Incapable Rate</t>
  </si>
  <si>
    <t>6.25 percent of value</t>
  </si>
  <si>
    <t>Stripper Rate</t>
  </si>
  <si>
    <t>3.125 percent of value</t>
  </si>
  <si>
    <t>Half Rate – Inactive Oil</t>
  </si>
  <si>
    <t>Quarter Rate – Orphan Oil</t>
  </si>
  <si>
    <t>Reclaimed Oil</t>
  </si>
  <si>
    <t>Horizontal Rate</t>
  </si>
  <si>
    <t>7/22 through 6/23</t>
  </si>
  <si>
    <t>5.0 percent of value</t>
  </si>
  <si>
    <t>7/23 through 6/24</t>
  </si>
  <si>
    <t>Stripper oil is exempt for any taxable period during which the average taxable value is less than $20 per barrel per LA R.S. 47:633(7)(c)(i)(bb).</t>
  </si>
  <si>
    <t>LA R.S. 47:633(7)(d)(i) provides that the Secretary shall determine the oil price upon which the exemption for a horizontal well that produces oil be based on July First of each year for the ensuing twelve months based upon the average New York Mercantile Exchange Price per barrel of crude oil per month on the close of business June Thirtieth for the prior twelve months. The amount of the exemption for a horizontal well that produces oil shall be as follows:</t>
  </si>
  <si>
    <t>The exemption shall be 100% if the price of oil is at or below $70 per barrel.</t>
  </si>
  <si>
    <t>The exemption shall be 80% if the price of oil is above $70 and at or below $80 per barrel.</t>
  </si>
  <si>
    <t>The exemption shall be 60% if the price of oil is above $80 and at or below $90 per barrel.</t>
  </si>
  <si>
    <t>The exemption shall be 40% if the price of oil is above $90 and at or below $100 per barrel.</t>
  </si>
  <si>
    <t>The exemption shall be 20% if the price of oil is above $100 and at or below $110 per barrel.</t>
  </si>
  <si>
    <t>There shall be no exemption in effect if the price of oil exceeds $110 per barrel.</t>
  </si>
  <si>
    <t>LA R.S. 47:633(8) provides that the tax rate for distillate, condensate, or similar natural resources severed from the soil or water either with oil or gas is 12.5 percent of its gross value at the time and place of severance.</t>
  </si>
  <si>
    <t>LA R.S. 47:633(9) provides that the tax rate for natural gas and equivalent gas volumes of natural gasoline, casinghead gasoline, and other natural gas liquids including ethane, methane, butane or propane is per 1,000 cubic feet at a base pressure of 15.025 pounds per square inch absolute and at 60 degrees Fahrenheit is adjusted annually on July 1 and may never be less than 7 cents.</t>
  </si>
  <si>
    <t>The tax rates for the last five fiscal years are as follows:</t>
  </si>
  <si>
    <t>Per MCF</t>
  </si>
  <si>
    <t>7/19 through 6/20</t>
  </si>
  <si>
    <t>7/20 through 6/21</t>
  </si>
  <si>
    <t>7/21 through 6/22</t>
  </si>
  <si>
    <t>Incapable oil well gas</t>
  </si>
  <si>
    <t>Incapable gas well gas</t>
  </si>
  <si>
    <t>Half Rate – Inactive gas</t>
  </si>
  <si>
    <t>Quarter Rate – Orphan Gas</t>
  </si>
  <si>
    <t>LA R.S. 47:633(7)(d)(ii) provides that the Secretary shall determine the natural gas price upon which the exemption for a horizontal well that produces natural gas be based on July First of each year for the ensuing twelve months based upon the average New York Mercantile Exchange Price per million BTU per month on the close of business June Thirtieth for the prior twelve months. The amount of the exemption for a horizontal well that produces natural gas shall be as follows:</t>
  </si>
  <si>
    <t>The exemption shall be 100% if the price of natural gas is at or below $4.50 per million BTU.</t>
  </si>
  <si>
    <t>The exemption shall be 80% if the price of natural gas is above $4.50 per million BTU and at or below $5.50 per million BTU.</t>
  </si>
  <si>
    <t>The exemption shall be 60% if the price of natural gas is above $5.50 million BTU and at or below $6.00 per million BTU.</t>
  </si>
  <si>
    <t>The exemption shall be 40% if the price of natural gas is above $6.00 and at or below $6.50 per million BTU.</t>
  </si>
  <si>
    <t>The exemption shall be 20% if the price of natural gas is above $6.50 and at or below $7.00 per million BTU.</t>
  </si>
  <si>
    <t>There shall be no exemption in effect if the price of natural gas exceeds $7.00 per million BTU.</t>
  </si>
  <si>
    <t>An "incapable" oil well produces 25 bopd or less, with over 50% water cut.  All wells on a mulit-well lease must be designated incapable before any well can receive the reduced severance rate.  A "stripper" oil well produces 10 bopd or less.</t>
  </si>
  <si>
    <t>LA R.S. 47:633(7)(a) provides that the taxable value of oil shall be the higher of (1) the gross receipts received from the first purchaser, less charges for trucking, barging and pipeline fees, or (2) the posted field price. In the absence of an arms-length transaction or posted field price, the value shall be the severer’s gross income from the property as determined by LA R.S. 47:158(C).</t>
  </si>
  <si>
    <t>5.  What is the severance tax rate for oil and condensate?</t>
  </si>
  <si>
    <t>The severance oil and condensate tax rates are as follows:</t>
  </si>
  <si>
    <t>5.  What is the severance tax rate for natural gas?</t>
  </si>
  <si>
    <t>https://revenue.louisiana.gov/Faq/QuestionsAndAnswers/76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</si>
</sst>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0.0_);\(#,##0.0\)"/>
    <numFmt numFmtId="167" formatCode="_(&quot;$&quot;* #,##0_);_(&quot;$&quot;* \(#,##0\);_(&quot;$&quot;* &quot;-&quot;??_);_(@_)"/>
    <numFmt numFmtId="168" formatCode="_(* #,##0.0000_);_(* \(#,##0.0000\);_(* &quot;-&quot;??_);_(@_)"/>
    <numFmt numFmtId="169" formatCode="#,##0.0000_);\(#,##0.0000\)"/>
    <numFmt numFmtId="170" formatCode="0.000%"/>
    <numFmt numFmtId="171" formatCode="#,##0.000000_);\(#,##0.000000\)"/>
    <numFmt numFmtId="172" formatCode="0.00000"/>
    <numFmt numFmtId="173" formatCode="0.0"/>
    <numFmt numFmtId="174" formatCode="0.000"/>
    <numFmt numFmtId="175" formatCode="0.000000%"/>
    <numFmt numFmtId="176" formatCode="0.000000000000000%"/>
    <numFmt numFmtId="177" formatCode="_(* #,##0.000_);_(* \(#,##0.000\);_(* &quot;-&quot;??_);_(@_)"/>
    <numFmt numFmtId="178" formatCode="#,##0.000_);\(#,##0.000\)"/>
    <numFmt numFmtId="179" formatCode="&quot;$&quot;#,##0.0000_);[Red]\(&quot;$&quot;#,##0.0000\)"/>
  </numFmts>
  <fonts count="80">
    <font>
      <sz val="11"/>
      <color theme="1"/>
      <name val="Tahoma"/>
      <family val="2"/>
    </font>
    <font>
      <sz val="11"/>
      <color theme="1"/>
      <name val="Calibri"/>
      <family val="2"/>
      <scheme val="minor"/>
    </font>
    <font>
      <sz val="11"/>
      <color theme="1"/>
      <name val="Tahoma"/>
      <family val="2"/>
    </font>
    <font>
      <sz val="9"/>
      <color theme="1"/>
      <name val="Tahoma"/>
      <family val="2"/>
    </font>
    <font>
      <b/>
      <sz val="16"/>
      <color theme="1"/>
      <name val="Tahoma"/>
      <family val="2"/>
    </font>
    <font>
      <sz val="11"/>
      <name val="Tahoma"/>
      <family val="2"/>
    </font>
    <font>
      <b/>
      <sz val="10"/>
      <color theme="1"/>
      <name val="Tahoma"/>
      <family val="2"/>
    </font>
    <font>
      <sz val="12"/>
      <color theme="1"/>
      <name val="Tahoma"/>
      <family val="2"/>
    </font>
    <font>
      <b/>
      <sz val="9"/>
      <name val="Tahoma"/>
      <family val="2"/>
    </font>
    <font>
      <sz val="13"/>
      <color theme="1"/>
      <name val="Eras Demi ITC"/>
      <family val="2"/>
    </font>
    <font>
      <b/>
      <sz val="10"/>
      <name val="Tahoma"/>
      <family val="2"/>
    </font>
    <font>
      <b/>
      <sz val="11"/>
      <color theme="1"/>
      <name val="Tahoma"/>
      <family val="2"/>
    </font>
    <font>
      <b/>
      <sz val="11"/>
      <name val="Tahoma"/>
      <family val="2"/>
    </font>
    <font>
      <b/>
      <sz val="14"/>
      <color theme="1"/>
      <name val="Tahoma"/>
      <family val="2"/>
    </font>
    <font>
      <b/>
      <sz val="16"/>
      <color theme="1"/>
      <name val="Consolas"/>
      <family val="3"/>
    </font>
    <font>
      <sz val="11"/>
      <color theme="1"/>
      <name val="Consolas"/>
      <family val="3"/>
    </font>
    <font>
      <b/>
      <sz val="12"/>
      <color rgb="FF0000FF"/>
      <name val="Consolas"/>
      <family val="3"/>
    </font>
    <font>
      <b/>
      <sz val="11"/>
      <color theme="1"/>
      <name val="Consolas"/>
      <family val="3"/>
    </font>
    <font>
      <b/>
      <sz val="12"/>
      <color theme="1"/>
      <name val="Consolas"/>
      <family val="3"/>
    </font>
    <font>
      <sz val="10"/>
      <color theme="1"/>
      <name val="Tahoma"/>
      <family val="2"/>
    </font>
    <font>
      <b/>
      <sz val="11"/>
      <color theme="1"/>
      <name val="Calibri"/>
      <family val="2"/>
      <scheme val="minor"/>
    </font>
    <font>
      <b/>
      <sz val="8"/>
      <color rgb="FF800000"/>
      <name val="Calibri"/>
      <family val="2"/>
      <scheme val="minor"/>
    </font>
    <font>
      <sz val="8"/>
      <color rgb="FF800000"/>
      <name val="Calibri"/>
      <family val="2"/>
      <scheme val="minor"/>
    </font>
    <font>
      <u/>
      <sz val="8"/>
      <color rgb="FF800000"/>
      <name val="Calibri"/>
      <family val="2"/>
      <scheme val="minor"/>
    </font>
    <font>
      <vertAlign val="superscript"/>
      <sz val="8"/>
      <color rgb="FF800000"/>
      <name val="Calibri"/>
      <family val="2"/>
      <scheme val="minor"/>
    </font>
    <font>
      <sz val="8"/>
      <name val="Calibri"/>
      <family val="2"/>
      <scheme val="minor"/>
    </font>
    <font>
      <sz val="8"/>
      <name val="Times New Roman"/>
      <family val="1"/>
    </font>
    <font>
      <u/>
      <sz val="8"/>
      <name val="Calibri"/>
      <family val="2"/>
      <scheme val="minor"/>
    </font>
    <font>
      <sz val="10"/>
      <color theme="1"/>
      <name val="Calibri"/>
      <family val="2"/>
      <scheme val="minor"/>
    </font>
    <font>
      <sz val="12"/>
      <color theme="1"/>
      <name val="Calibri"/>
      <family val="2"/>
      <scheme val="minor"/>
    </font>
    <font>
      <b/>
      <sz val="11"/>
      <color rgb="FF0000FF"/>
      <name val="Calibri"/>
      <family val="2"/>
      <scheme val="minor"/>
    </font>
    <font>
      <b/>
      <sz val="11"/>
      <color rgb="FF0000FF"/>
      <name val="Tahoma"/>
      <family val="2"/>
    </font>
    <font>
      <b/>
      <sz val="8"/>
      <name val="Times New Roman"/>
      <family val="1"/>
    </font>
    <font>
      <sz val="10"/>
      <name val="Calibri"/>
      <family val="2"/>
      <scheme val="minor"/>
    </font>
    <font>
      <sz val="10"/>
      <color rgb="FF0000FF"/>
      <name val="Calibri"/>
      <family val="2"/>
      <scheme val="minor"/>
    </font>
    <font>
      <sz val="10"/>
      <color rgb="FFFF0000"/>
      <name val="Calibri"/>
      <family val="2"/>
      <scheme val="minor"/>
    </font>
    <font>
      <b/>
      <sz val="9"/>
      <name val="Times New Roman"/>
      <family val="1"/>
    </font>
    <font>
      <b/>
      <sz val="8"/>
      <name val="Calibri"/>
      <family val="2"/>
      <scheme val="minor"/>
    </font>
    <font>
      <b/>
      <sz val="10"/>
      <color rgb="FF000000"/>
      <name val="Times New Roman"/>
      <family val="1"/>
    </font>
    <font>
      <b/>
      <sz val="10"/>
      <name val="Times New Roman"/>
      <family val="1"/>
    </font>
    <font>
      <b/>
      <sz val="11"/>
      <name val="Calibri"/>
      <family val="2"/>
      <scheme val="minor"/>
    </font>
    <font>
      <sz val="8"/>
      <color rgb="FF800000"/>
      <name val="Tahoma"/>
      <family val="2"/>
    </font>
    <font>
      <b/>
      <sz val="12"/>
      <name val="Calibri"/>
      <family val="2"/>
      <scheme val="minor"/>
    </font>
    <font>
      <b/>
      <sz val="12"/>
      <color theme="1"/>
      <name val="Calibri"/>
      <family val="2"/>
      <scheme val="minor"/>
    </font>
    <font>
      <b/>
      <sz val="9"/>
      <name val="Arial"/>
      <family val="2"/>
    </font>
    <font>
      <b/>
      <sz val="10"/>
      <color rgb="FFFF0000"/>
      <name val="Calibri"/>
      <family val="2"/>
      <scheme val="minor"/>
    </font>
    <font>
      <i/>
      <sz val="10"/>
      <name val="Calibri"/>
      <family val="2"/>
      <scheme val="minor"/>
    </font>
    <font>
      <i/>
      <sz val="10"/>
      <color theme="1"/>
      <name val="Calibri"/>
      <family val="2"/>
      <scheme val="minor"/>
    </font>
    <font>
      <i/>
      <sz val="12"/>
      <color theme="1"/>
      <name val="Calibri"/>
      <family val="2"/>
      <scheme val="minor"/>
    </font>
    <font>
      <b/>
      <sz val="16"/>
      <color theme="2" tint="-0.499984740745262"/>
      <name val="Tahoma"/>
      <family val="2"/>
    </font>
    <font>
      <sz val="11"/>
      <color theme="2" tint="-0.499984740745262"/>
      <name val="Tahoma"/>
      <family val="2"/>
    </font>
    <font>
      <b/>
      <sz val="11"/>
      <color theme="2" tint="-0.499984740745262"/>
      <name val="Tahoma"/>
      <family val="2"/>
    </font>
    <font>
      <b/>
      <sz val="10"/>
      <color theme="2" tint="-0.499984740745262"/>
      <name val="Tahoma"/>
      <family val="2"/>
    </font>
    <font>
      <sz val="10"/>
      <color theme="2" tint="-0.499984740745262"/>
      <name val="Tahoma"/>
      <family val="2"/>
    </font>
    <font>
      <b/>
      <sz val="9"/>
      <color theme="2" tint="-0.499984740745262"/>
      <name val="Tahoma"/>
      <family val="2"/>
    </font>
    <font>
      <sz val="9"/>
      <color theme="2" tint="-0.499984740745262"/>
      <name val="Tahoma"/>
      <family val="2"/>
    </font>
    <font>
      <sz val="11"/>
      <color rgb="FFFF0000"/>
      <name val="Tahoma"/>
      <family val="2"/>
    </font>
    <font>
      <sz val="11"/>
      <color rgb="FF757171"/>
      <name val="Tahoma"/>
      <family val="2"/>
    </font>
    <font>
      <u/>
      <sz val="22"/>
      <color rgb="FF757171"/>
      <name val="Tahoma"/>
      <family val="2"/>
    </font>
    <font>
      <u/>
      <sz val="11"/>
      <color rgb="FF757171"/>
      <name val="Tahoma"/>
      <family val="2"/>
    </font>
    <font>
      <b/>
      <sz val="11"/>
      <color rgb="FF757171"/>
      <name val="Tahoma"/>
      <family val="2"/>
    </font>
    <font>
      <sz val="10"/>
      <color rgb="FF757171"/>
      <name val="Tahoma"/>
      <family val="2"/>
    </font>
    <font>
      <b/>
      <sz val="12"/>
      <color rgb="FF757171"/>
      <name val="Serifa BT"/>
      <family val="1"/>
    </font>
    <font>
      <b/>
      <vertAlign val="subscript"/>
      <sz val="16"/>
      <color rgb="FF757171"/>
      <name val="Serifa BT"/>
      <family val="1"/>
    </font>
    <font>
      <vertAlign val="subscript"/>
      <sz val="10"/>
      <color rgb="FF757171"/>
      <name val="Tahoma"/>
      <family val="2"/>
    </font>
    <font>
      <b/>
      <sz val="14"/>
      <color rgb="FF757171"/>
      <name val="Serifa BT"/>
      <family val="1"/>
    </font>
    <font>
      <b/>
      <vertAlign val="subscript"/>
      <sz val="14"/>
      <color rgb="FF757171"/>
      <name val="Serifa BT"/>
      <family val="1"/>
    </font>
    <font>
      <b/>
      <sz val="16"/>
      <color rgb="FF757171"/>
      <name val="Serifa BT"/>
      <family val="1"/>
    </font>
    <font>
      <b/>
      <vertAlign val="superscript"/>
      <sz val="16"/>
      <color rgb="FF757171"/>
      <name val="Serifa BT"/>
      <family val="1"/>
    </font>
    <font>
      <sz val="11"/>
      <color indexed="81"/>
      <name val="Tahoma"/>
      <family val="2"/>
    </font>
    <font>
      <b/>
      <sz val="12"/>
      <color theme="1"/>
      <name val="Tahoma"/>
      <family val="2"/>
    </font>
    <font>
      <sz val="10"/>
      <color indexed="81"/>
      <name val="Tahoma"/>
      <family val="2"/>
    </font>
    <font>
      <u/>
      <sz val="10"/>
      <color indexed="81"/>
      <name val="Tahoma"/>
      <family val="2"/>
    </font>
    <font>
      <u/>
      <sz val="11"/>
      <color theme="10"/>
      <name val="Tahoma"/>
      <family val="2"/>
    </font>
    <font>
      <sz val="12"/>
      <name val="Arial"/>
      <family val="2"/>
    </font>
    <font>
      <sz val="12"/>
      <name val="Tahoma"/>
      <family val="2"/>
    </font>
    <font>
      <u/>
      <sz val="12"/>
      <color theme="10"/>
      <name val="Tahoma"/>
      <family val="2"/>
    </font>
    <font>
      <b/>
      <sz val="12"/>
      <color rgb="FF707070"/>
      <name val="Arial"/>
      <family val="2"/>
    </font>
    <font>
      <b/>
      <sz val="18"/>
      <color rgb="FF151F6D"/>
      <name val="Garamond"/>
      <family val="1"/>
    </font>
    <font>
      <sz val="14"/>
      <color theme="1"/>
      <name val="Tahoma"/>
      <family val="2"/>
    </font>
  </fonts>
  <fills count="1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BFDB7"/>
        <bgColor indexed="64"/>
      </patternFill>
    </fill>
    <fill>
      <patternFill patternType="solid">
        <fgColor theme="0" tint="-0.14999847407452621"/>
        <bgColor indexed="64"/>
      </patternFill>
    </fill>
    <fill>
      <patternFill patternType="solid">
        <fgColor rgb="FFC0C0C0"/>
      </patternFill>
    </fill>
    <fill>
      <patternFill patternType="solid">
        <fgColor rgb="FFC00000"/>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darkUp">
        <bgColor rgb="FFC00000"/>
      </patternFill>
    </fill>
    <fill>
      <patternFill patternType="solid">
        <fgColor rgb="FFFCE4D6"/>
        <bgColor indexed="64"/>
      </patternFill>
    </fill>
  </fills>
  <borders count="109">
    <border>
      <left/>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right style="thin">
        <color auto="1"/>
      </right>
      <top/>
      <bottom style="thin">
        <color auto="1"/>
      </bottom>
      <diagonal/>
    </border>
    <border>
      <left/>
      <right style="thin">
        <color auto="1"/>
      </right>
      <top style="thin">
        <color auto="1"/>
      </top>
      <bottom style="double">
        <color indexed="64"/>
      </bottom>
      <diagonal/>
    </border>
    <border>
      <left/>
      <right style="thin">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double">
        <color indexed="64"/>
      </bottom>
      <diagonal/>
    </border>
    <border>
      <left style="medium">
        <color indexed="64"/>
      </left>
      <right/>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auto="1"/>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style="thin">
        <color auto="1"/>
      </right>
      <top style="thin">
        <color auto="1"/>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auto="1"/>
      </left>
      <right/>
      <top/>
      <bottom style="thin">
        <color rgb="FF000000"/>
      </bottom>
      <diagonal/>
    </border>
    <border>
      <left/>
      <right style="thin">
        <color auto="1"/>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indexed="64"/>
      </right>
      <top style="thin">
        <color rgb="FF000000"/>
      </top>
      <bottom style="thin">
        <color rgb="FF000000"/>
      </bottom>
      <diagonal/>
    </border>
    <border>
      <left/>
      <right/>
      <top style="thin">
        <color auto="1"/>
      </top>
      <bottom style="double">
        <color indexed="64"/>
      </bottom>
      <diagonal/>
    </border>
    <border>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double">
        <color indexed="64"/>
      </bottom>
      <diagonal/>
    </border>
    <border>
      <left/>
      <right style="thin">
        <color rgb="FF000000"/>
      </right>
      <top/>
      <bottom/>
      <diagonal/>
    </border>
    <border>
      <left style="thin">
        <color rgb="FF000000"/>
      </left>
      <right/>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bottom style="thin">
        <color auto="1"/>
      </bottom>
      <diagonal/>
    </border>
    <border>
      <left style="thick">
        <color indexed="64"/>
      </left>
      <right style="thick">
        <color indexed="64"/>
      </right>
      <top style="thin">
        <color auto="1"/>
      </top>
      <bottom style="medium">
        <color indexed="64"/>
      </bottom>
      <diagonal/>
    </border>
    <border>
      <left style="thick">
        <color indexed="64"/>
      </left>
      <right style="thick">
        <color indexed="64"/>
      </right>
      <top style="medium">
        <color indexed="64"/>
      </top>
      <bottom style="double">
        <color indexed="64"/>
      </bottom>
      <diagonal/>
    </border>
    <border>
      <left style="thick">
        <color indexed="64"/>
      </left>
      <right style="thick">
        <color indexed="64"/>
      </right>
      <top style="thin">
        <color auto="1"/>
      </top>
      <bottom style="double">
        <color indexed="64"/>
      </bottom>
      <diagonal/>
    </border>
    <border>
      <left style="thick">
        <color indexed="64"/>
      </left>
      <right style="thick">
        <color indexed="64"/>
      </right>
      <top style="thin">
        <color auto="1"/>
      </top>
      <bottom style="thick">
        <color indexed="64"/>
      </bottom>
      <diagonal/>
    </border>
    <border>
      <left style="thin">
        <color auto="1"/>
      </left>
      <right/>
      <top/>
      <bottom style="thin">
        <color auto="1"/>
      </bottom>
      <diagonal/>
    </border>
    <border>
      <left style="medium">
        <color indexed="64"/>
      </left>
      <right/>
      <top style="thin">
        <color auto="1"/>
      </top>
      <bottom/>
      <diagonal/>
    </border>
    <border>
      <left style="thick">
        <color indexed="64"/>
      </left>
      <right style="thick">
        <color indexed="64"/>
      </right>
      <top style="thin">
        <color auto="1"/>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thick">
        <color indexed="64"/>
      </left>
      <right style="thick">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rgb="FF000000"/>
      </left>
      <right style="thin">
        <color rgb="FF000000"/>
      </right>
      <top style="thin">
        <color rgb="FF000000"/>
      </top>
      <bottom style="medium">
        <color rgb="FF70707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73" fillId="0" borderId="0" applyNumberFormat="0" applyFill="0" applyBorder="0" applyAlignment="0" applyProtection="0"/>
  </cellStyleXfs>
  <cellXfs count="588">
    <xf numFmtId="0" fontId="0" fillId="0" borderId="0" xfId="0"/>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0" borderId="0" xfId="0" applyFill="1"/>
    <xf numFmtId="0" fontId="0" fillId="0" borderId="0" xfId="0" applyFill="1" applyAlignment="1">
      <alignment vertical="center"/>
    </xf>
    <xf numFmtId="0" fontId="3" fillId="0" borderId="0" xfId="0" applyFont="1" applyFill="1" applyAlignment="1">
      <alignment horizontal="center"/>
    </xf>
    <xf numFmtId="164" fontId="0" fillId="0" borderId="0" xfId="1" applyNumberFormat="1" applyFont="1" applyFill="1"/>
    <xf numFmtId="3" fontId="0" fillId="0" borderId="0" xfId="0" applyNumberFormat="1" applyFill="1"/>
    <xf numFmtId="0" fontId="6" fillId="3" borderId="26" xfId="0" applyFont="1" applyFill="1" applyBorder="1" applyAlignment="1">
      <alignment horizontal="center"/>
    </xf>
    <xf numFmtId="0" fontId="0" fillId="0" borderId="0" xfId="0" applyFill="1" applyAlignment="1">
      <alignment horizontal="right"/>
    </xf>
    <xf numFmtId="0" fontId="11" fillId="0" borderId="0" xfId="0" applyFont="1" applyFill="1" applyAlignment="1">
      <alignment horizontal="right"/>
    </xf>
    <xf numFmtId="167" fontId="12" fillId="4" borderId="29" xfId="3" applyNumberFormat="1" applyFont="1" applyFill="1" applyBorder="1"/>
    <xf numFmtId="0" fontId="0" fillId="0" borderId="0" xfId="0" applyBorder="1"/>
    <xf numFmtId="5" fontId="5" fillId="0" borderId="10" xfId="3" applyNumberFormat="1" applyFont="1" applyBorder="1"/>
    <xf numFmtId="5" fontId="5" fillId="0" borderId="11" xfId="3" applyNumberFormat="1" applyFont="1" applyBorder="1"/>
    <xf numFmtId="5" fontId="5" fillId="0" borderId="2" xfId="3" applyNumberFormat="1" applyFont="1" applyBorder="1"/>
    <xf numFmtId="5" fontId="5" fillId="0" borderId="3" xfId="3" applyNumberFormat="1" applyFont="1" applyBorder="1"/>
    <xf numFmtId="5" fontId="5" fillId="0" borderId="7" xfId="3" applyNumberFormat="1" applyFont="1" applyBorder="1"/>
    <xf numFmtId="5" fontId="5" fillId="0" borderId="8" xfId="3" applyNumberFormat="1" applyFont="1" applyBorder="1"/>
    <xf numFmtId="5" fontId="5" fillId="0" borderId="28" xfId="3" applyNumberFormat="1" applyFont="1" applyBorder="1"/>
    <xf numFmtId="5" fontId="5" fillId="0" borderId="9" xfId="3" applyNumberFormat="1" applyFont="1" applyBorder="1"/>
    <xf numFmtId="5" fontId="5" fillId="0" borderId="31" xfId="3" applyNumberFormat="1" applyFont="1" applyBorder="1"/>
    <xf numFmtId="5" fontId="5" fillId="0" borderId="1" xfId="3" applyNumberFormat="1" applyFont="1" applyBorder="1"/>
    <xf numFmtId="5" fontId="5" fillId="0" borderId="25" xfId="3" applyNumberFormat="1" applyFont="1" applyBorder="1"/>
    <xf numFmtId="5" fontId="5" fillId="0" borderId="6" xfId="3" applyNumberFormat="1" applyFont="1" applyBorder="1"/>
    <xf numFmtId="5" fontId="10" fillId="0" borderId="29" xfId="3" applyNumberFormat="1" applyFont="1" applyBorder="1"/>
    <xf numFmtId="7" fontId="5" fillId="0" borderId="10" xfId="3" applyNumberFormat="1" applyFont="1" applyBorder="1"/>
    <xf numFmtId="7" fontId="5" fillId="0" borderId="2" xfId="3" applyNumberFormat="1" applyFont="1" applyBorder="1"/>
    <xf numFmtId="7" fontId="5" fillId="0" borderId="7" xfId="3" applyNumberFormat="1" applyFont="1" applyBorder="1"/>
    <xf numFmtId="165" fontId="5" fillId="0" borderId="9" xfId="2" applyNumberFormat="1" applyFont="1" applyBorder="1" applyAlignment="1">
      <alignment horizontal="center"/>
    </xf>
    <xf numFmtId="165" fontId="5" fillId="0" borderId="1" xfId="2" applyNumberFormat="1" applyFont="1" applyBorder="1" applyAlignment="1">
      <alignment horizontal="center"/>
    </xf>
    <xf numFmtId="165" fontId="5" fillId="0" borderId="6" xfId="2" applyNumberFormat="1" applyFont="1" applyBorder="1" applyAlignment="1">
      <alignment horizontal="center"/>
    </xf>
    <xf numFmtId="0" fontId="0" fillId="0" borderId="0" xfId="0" applyAlignment="1">
      <alignment horizontal="center"/>
    </xf>
    <xf numFmtId="5" fontId="0" fillId="0" borderId="2" xfId="0" applyNumberFormat="1" applyBorder="1"/>
    <xf numFmtId="0" fontId="0" fillId="0" borderId="2" xfId="0" applyBorder="1" applyAlignment="1">
      <alignment horizontal="center"/>
    </xf>
    <xf numFmtId="0" fontId="0" fillId="0" borderId="2" xfId="0" applyBorder="1"/>
    <xf numFmtId="0" fontId="0" fillId="0" borderId="2" xfId="0" applyBorder="1" applyAlignment="1">
      <alignment horizontal="center" wrapText="1"/>
    </xf>
    <xf numFmtId="0" fontId="0" fillId="0" borderId="0" xfId="0" quotePrefix="1" applyAlignment="1">
      <alignment horizontal="left"/>
    </xf>
    <xf numFmtId="0" fontId="0" fillId="0" borderId="46" xfId="0" applyFill="1" applyBorder="1"/>
    <xf numFmtId="3" fontId="0" fillId="0" borderId="40" xfId="0" quotePrefix="1" applyNumberFormat="1" applyFill="1" applyBorder="1" applyAlignment="1">
      <alignment horizontal="center"/>
    </xf>
    <xf numFmtId="3" fontId="0" fillId="0" borderId="47" xfId="0" applyNumberFormat="1" applyFill="1" applyBorder="1"/>
    <xf numFmtId="3" fontId="0" fillId="0" borderId="46" xfId="0" applyNumberFormat="1" applyFill="1" applyBorder="1"/>
    <xf numFmtId="37" fontId="5" fillId="0" borderId="10" xfId="1" applyNumberFormat="1" applyFont="1" applyBorder="1"/>
    <xf numFmtId="37" fontId="5" fillId="0" borderId="2" xfId="1" applyNumberFormat="1" applyFont="1" applyBorder="1"/>
    <xf numFmtId="37" fontId="5" fillId="0" borderId="7" xfId="1" applyNumberFormat="1" applyFont="1" applyBorder="1"/>
    <xf numFmtId="37" fontId="5" fillId="0" borderId="19" xfId="1" applyNumberFormat="1" applyFont="1" applyBorder="1"/>
    <xf numFmtId="37" fontId="5" fillId="0" borderId="27" xfId="1" applyNumberFormat="1" applyFont="1" applyBorder="1"/>
    <xf numFmtId="37" fontId="5" fillId="0" borderId="20" xfId="1" applyNumberFormat="1" applyFont="1" applyBorder="1"/>
    <xf numFmtId="3" fontId="0" fillId="0" borderId="48" xfId="0" applyNumberFormat="1" applyFill="1" applyBorder="1"/>
    <xf numFmtId="165" fontId="0" fillId="0" borderId="48" xfId="2" applyNumberFormat="1" applyFont="1" applyFill="1" applyBorder="1" applyAlignment="1">
      <alignment horizontal="center"/>
    </xf>
    <xf numFmtId="3" fontId="0" fillId="0" borderId="50" xfId="0" applyNumberFormat="1" applyFill="1" applyBorder="1"/>
    <xf numFmtId="3" fontId="0" fillId="0" borderId="10" xfId="0" applyNumberFormat="1" applyFill="1" applyBorder="1" applyAlignment="1">
      <alignment horizontal="center" vertical="top"/>
    </xf>
    <xf numFmtId="3" fontId="0" fillId="0" borderId="0" xfId="0" applyNumberFormat="1" applyFill="1" applyAlignment="1">
      <alignment vertical="top"/>
    </xf>
    <xf numFmtId="3" fontId="0" fillId="0" borderId="49" xfId="0" applyNumberFormat="1" applyFill="1" applyBorder="1" applyAlignment="1">
      <alignment vertical="top"/>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0" xfId="0" applyFont="1" applyFill="1" applyBorder="1" applyAlignment="1">
      <alignment horizontal="center" vertical="center" wrapText="1"/>
    </xf>
    <xf numFmtId="169" fontId="5" fillId="0" borderId="9" xfId="1" applyNumberFormat="1" applyFont="1" applyBorder="1" applyAlignment="1">
      <alignment horizontal="right"/>
    </xf>
    <xf numFmtId="169" fontId="5" fillId="0" borderId="42" xfId="1" applyNumberFormat="1" applyFont="1" applyBorder="1" applyAlignment="1">
      <alignment horizontal="right"/>
    </xf>
    <xf numFmtId="5" fontId="5" fillId="0" borderId="44" xfId="3" applyNumberFormat="1" applyFont="1" applyBorder="1"/>
    <xf numFmtId="169" fontId="5" fillId="0" borderId="6" xfId="1" applyNumberFormat="1" applyFont="1" applyBorder="1" applyAlignment="1">
      <alignment horizontal="right"/>
    </xf>
    <xf numFmtId="0" fontId="0" fillId="0" borderId="53" xfId="0" applyFill="1" applyBorder="1" applyAlignment="1">
      <alignment horizontal="right"/>
    </xf>
    <xf numFmtId="0" fontId="0" fillId="0" borderId="0" xfId="0" applyFill="1" applyBorder="1" applyAlignment="1">
      <alignment horizontal="right"/>
    </xf>
    <xf numFmtId="167" fontId="5" fillId="0" borderId="53" xfId="3" applyNumberFormat="1" applyFont="1" applyFill="1" applyBorder="1"/>
    <xf numFmtId="168" fontId="0" fillId="0" borderId="0" xfId="1" applyNumberFormat="1" applyFont="1" applyFill="1" applyBorder="1"/>
    <xf numFmtId="167" fontId="0" fillId="0" borderId="52" xfId="0" applyNumberFormat="1" applyFill="1" applyBorder="1"/>
    <xf numFmtId="164" fontId="10" fillId="9" borderId="22" xfId="0" applyNumberFormat="1" applyFont="1" applyFill="1" applyBorder="1"/>
    <xf numFmtId="164" fontId="10" fillId="9" borderId="4" xfId="0" applyNumberFormat="1" applyFont="1" applyFill="1" applyBorder="1"/>
    <xf numFmtId="5" fontId="10" fillId="9" borderId="4" xfId="0" applyNumberFormat="1" applyFont="1" applyFill="1" applyBorder="1"/>
    <xf numFmtId="5" fontId="10" fillId="9" borderId="5" xfId="3" applyNumberFormat="1" applyFont="1" applyFill="1" applyBorder="1"/>
    <xf numFmtId="164" fontId="10" fillId="7" borderId="22" xfId="0" applyNumberFormat="1" applyFont="1" applyFill="1" applyBorder="1"/>
    <xf numFmtId="164" fontId="10" fillId="7" borderId="21" xfId="0" applyNumberFormat="1" applyFont="1" applyFill="1" applyBorder="1"/>
    <xf numFmtId="5" fontId="10" fillId="7" borderId="4" xfId="0" applyNumberFormat="1" applyFont="1" applyFill="1" applyBorder="1"/>
    <xf numFmtId="5" fontId="10" fillId="7" borderId="5" xfId="3" applyNumberFormat="1" applyFont="1" applyFill="1" applyBorder="1"/>
    <xf numFmtId="5" fontId="10" fillId="8" borderId="22" xfId="3" applyNumberFormat="1" applyFont="1" applyFill="1" applyBorder="1"/>
    <xf numFmtId="5" fontId="10" fillId="8" borderId="4" xfId="3" applyNumberFormat="1" applyFont="1" applyFill="1" applyBorder="1"/>
    <xf numFmtId="5" fontId="10" fillId="8" borderId="5" xfId="3" applyNumberFormat="1" applyFont="1" applyFill="1" applyBorder="1"/>
    <xf numFmtId="5" fontId="10" fillId="10" borderId="5" xfId="3" applyNumberFormat="1" applyFont="1" applyFill="1" applyBorder="1"/>
    <xf numFmtId="0" fontId="4" fillId="0" borderId="0" xfId="0" applyFont="1" applyFill="1" applyAlignment="1" applyProtection="1">
      <alignment horizontal="left" vertical="center" indent="1"/>
    </xf>
    <xf numFmtId="0" fontId="14" fillId="0" borderId="0" xfId="0" applyFont="1" applyFill="1" applyAlignment="1" applyProtection="1">
      <alignment horizontal="center" vertical="center"/>
    </xf>
    <xf numFmtId="0" fontId="15" fillId="0" borderId="0" xfId="0" applyFont="1"/>
    <xf numFmtId="37" fontId="5" fillId="0" borderId="0" xfId="1" applyNumberFormat="1" applyFont="1" applyBorder="1" applyAlignment="1">
      <alignment horizontal="left"/>
    </xf>
    <xf numFmtId="166" fontId="5" fillId="0" borderId="0" xfId="1" applyNumberFormat="1" applyFont="1" applyBorder="1" applyAlignment="1">
      <alignment horizontal="left"/>
    </xf>
    <xf numFmtId="165" fontId="0" fillId="0" borderId="0" xfId="2" applyNumberFormat="1" applyFont="1" applyFill="1" applyBorder="1" applyAlignment="1">
      <alignment horizontal="left"/>
    </xf>
    <xf numFmtId="0" fontId="0" fillId="0" borderId="0" xfId="0" applyAlignment="1">
      <alignment horizontal="left"/>
    </xf>
    <xf numFmtId="0" fontId="11" fillId="0" borderId="0" xfId="0" applyFont="1" applyAlignment="1">
      <alignment horizontal="left"/>
    </xf>
    <xf numFmtId="37" fontId="11" fillId="0" borderId="0" xfId="1" applyNumberFormat="1" applyFont="1" applyAlignment="1">
      <alignment horizontal="left"/>
    </xf>
    <xf numFmtId="166" fontId="11" fillId="0" borderId="0" xfId="1" applyNumberFormat="1" applyFont="1" applyAlignment="1">
      <alignment horizontal="left"/>
    </xf>
    <xf numFmtId="7" fontId="11" fillId="0" borderId="0" xfId="1" applyNumberFormat="1" applyFont="1" applyAlignment="1">
      <alignment horizontal="left"/>
    </xf>
    <xf numFmtId="0" fontId="0" fillId="0" borderId="0" xfId="0" applyAlignment="1">
      <alignment horizontal="left" indent="1"/>
    </xf>
    <xf numFmtId="0" fontId="19" fillId="0" borderId="0" xfId="0" applyFont="1" applyAlignment="1">
      <alignment vertical="center"/>
    </xf>
    <xf numFmtId="0" fontId="0" fillId="0" borderId="0" xfId="0" applyAlignment="1"/>
    <xf numFmtId="171" fontId="11" fillId="0" borderId="0" xfId="1" applyNumberFormat="1" applyFont="1" applyAlignment="1">
      <alignment horizontal="left"/>
    </xf>
    <xf numFmtId="0" fontId="7" fillId="0" borderId="54" xfId="0" applyFont="1" applyFill="1" applyBorder="1" applyAlignment="1" applyProtection="1">
      <alignment horizontal="left" indent="1"/>
    </xf>
    <xf numFmtId="0" fontId="7" fillId="0" borderId="31" xfId="0" applyFont="1" applyFill="1" applyBorder="1" applyAlignment="1" applyProtection="1">
      <alignment horizontal="left" indent="1"/>
    </xf>
    <xf numFmtId="0" fontId="7" fillId="0" borderId="25" xfId="0" applyFont="1" applyFill="1" applyBorder="1" applyAlignment="1" applyProtection="1">
      <alignment horizontal="left" indent="1"/>
    </xf>
    <xf numFmtId="0" fontId="7" fillId="0" borderId="28" xfId="0" applyFont="1" applyFill="1" applyBorder="1" applyAlignment="1" applyProtection="1">
      <alignment horizontal="left" indent="1"/>
    </xf>
    <xf numFmtId="0" fontId="7" fillId="0" borderId="55" xfId="0" applyFont="1" applyFill="1" applyBorder="1" applyAlignment="1" applyProtection="1">
      <alignment horizontal="left" indent="1"/>
    </xf>
    <xf numFmtId="0" fontId="7" fillId="0" borderId="54" xfId="0" applyFont="1" applyFill="1" applyBorder="1" applyAlignment="1">
      <alignment horizontal="left" indent="1"/>
    </xf>
    <xf numFmtId="0" fontId="7" fillId="0" borderId="31" xfId="0" applyFont="1" applyFill="1" applyBorder="1" applyAlignment="1">
      <alignment horizontal="left" indent="1"/>
    </xf>
    <xf numFmtId="0" fontId="7" fillId="0" borderId="55" xfId="0" applyFont="1" applyFill="1" applyBorder="1" applyAlignment="1">
      <alignment horizontal="left" indent="1"/>
    </xf>
    <xf numFmtId="0" fontId="7" fillId="0" borderId="25" xfId="0" applyFont="1" applyFill="1" applyBorder="1" applyAlignment="1">
      <alignment horizontal="left" indent="1"/>
    </xf>
    <xf numFmtId="0" fontId="7" fillId="0" borderId="28" xfId="0" applyFont="1" applyFill="1" applyBorder="1" applyAlignment="1">
      <alignment horizontal="left" indent="1"/>
    </xf>
    <xf numFmtId="0" fontId="0" fillId="0" borderId="0" xfId="0" applyAlignment="1">
      <alignment vertical="top" wrapText="1"/>
    </xf>
    <xf numFmtId="0" fontId="26" fillId="0" borderId="50" xfId="0" applyFont="1" applyBorder="1" applyAlignment="1">
      <alignment vertical="top" wrapText="1"/>
    </xf>
    <xf numFmtId="0" fontId="26" fillId="0" borderId="0" xfId="0" applyFont="1" applyAlignment="1">
      <alignment vertical="top" wrapText="1"/>
    </xf>
    <xf numFmtId="0" fontId="25" fillId="0" borderId="0" xfId="0" applyFont="1" applyAlignment="1">
      <alignment horizontal="left" vertical="top" wrapText="1"/>
    </xf>
    <xf numFmtId="0" fontId="1" fillId="0" borderId="0" xfId="0" applyFont="1"/>
    <xf numFmtId="0" fontId="0" fillId="0" borderId="50" xfId="0" applyBorder="1" applyAlignment="1">
      <alignment vertical="center" wrapText="1"/>
    </xf>
    <xf numFmtId="0" fontId="31" fillId="0" borderId="0" xfId="0" applyFont="1" applyProtection="1">
      <protection locked="0"/>
    </xf>
    <xf numFmtId="0" fontId="1" fillId="0" borderId="2" xfId="0" applyFont="1" applyBorder="1"/>
    <xf numFmtId="0" fontId="9" fillId="0" borderId="0" xfId="0" applyFont="1" applyAlignment="1">
      <alignment horizontal="center"/>
    </xf>
    <xf numFmtId="0" fontId="32" fillId="0" borderId="50" xfId="0" applyFont="1" applyBorder="1" applyAlignment="1">
      <alignment vertical="top" wrapText="1"/>
    </xf>
    <xf numFmtId="164" fontId="34" fillId="0" borderId="71" xfId="1" applyNumberFormat="1" applyFont="1" applyBorder="1" applyAlignment="1">
      <alignment vertical="center" wrapText="1"/>
    </xf>
    <xf numFmtId="0" fontId="34" fillId="0" borderId="2" xfId="0" applyFont="1" applyBorder="1" applyAlignment="1">
      <alignment vertical="center" wrapText="1"/>
    </xf>
    <xf numFmtId="2" fontId="34" fillId="0" borderId="2" xfId="0" applyNumberFormat="1" applyFont="1" applyBorder="1" applyAlignment="1">
      <alignment vertical="center" wrapText="1"/>
    </xf>
    <xf numFmtId="0" fontId="28" fillId="0" borderId="71" xfId="0" applyFont="1" applyBorder="1" applyAlignment="1">
      <alignment vertical="center" wrapText="1"/>
    </xf>
    <xf numFmtId="0" fontId="28" fillId="0" borderId="2" xfId="0" applyFont="1" applyBorder="1" applyAlignment="1">
      <alignment vertical="center" wrapText="1"/>
    </xf>
    <xf numFmtId="0" fontId="28" fillId="0" borderId="73" xfId="0" applyFont="1" applyBorder="1" applyAlignment="1">
      <alignment vertical="center" wrapText="1"/>
    </xf>
    <xf numFmtId="0" fontId="32" fillId="0" borderId="0" xfId="0" applyFont="1" applyAlignment="1">
      <alignment vertical="top" wrapText="1"/>
    </xf>
    <xf numFmtId="0" fontId="32" fillId="0" borderId="2" xfId="0" applyFont="1" applyBorder="1" applyAlignment="1">
      <alignment vertical="top" wrapText="1"/>
    </xf>
    <xf numFmtId="0" fontId="28" fillId="0" borderId="0" xfId="0" applyFont="1"/>
    <xf numFmtId="0" fontId="28" fillId="0" borderId="0" xfId="0" applyFont="1" applyAlignment="1">
      <alignment horizontal="center" vertical="center"/>
    </xf>
    <xf numFmtId="0" fontId="1" fillId="0" borderId="10" xfId="0" applyFont="1" applyBorder="1"/>
    <xf numFmtId="164" fontId="34" fillId="0" borderId="69" xfId="1" applyNumberFormat="1" applyFont="1" applyBorder="1" applyAlignment="1">
      <alignment vertical="center" wrapText="1"/>
    </xf>
    <xf numFmtId="0" fontId="34" fillId="0" borderId="10" xfId="0" applyFont="1" applyBorder="1" applyAlignment="1">
      <alignment vertical="center" wrapText="1"/>
    </xf>
    <xf numFmtId="2" fontId="34" fillId="0" borderId="10" xfId="0" applyNumberFormat="1" applyFont="1" applyBorder="1" applyAlignment="1">
      <alignment vertical="center" wrapText="1"/>
    </xf>
    <xf numFmtId="0" fontId="33" fillId="11" borderId="7" xfId="0" applyFont="1" applyFill="1" applyBorder="1" applyAlignment="1">
      <alignment horizontal="center" vertical="center" wrapText="1"/>
    </xf>
    <xf numFmtId="0" fontId="0" fillId="0" borderId="50" xfId="0" applyBorder="1"/>
    <xf numFmtId="0" fontId="1" fillId="0" borderId="2" xfId="0" applyFont="1" applyBorder="1" applyAlignment="1">
      <alignment horizontal="left"/>
    </xf>
    <xf numFmtId="0" fontId="29" fillId="0" borderId="72" xfId="0" applyFont="1" applyBorder="1" applyAlignment="1">
      <alignment horizontal="left"/>
    </xf>
    <xf numFmtId="0" fontId="29" fillId="0" borderId="65" xfId="0" applyFont="1" applyBorder="1" applyAlignment="1">
      <alignment horizontal="left"/>
    </xf>
    <xf numFmtId="0" fontId="25" fillId="0" borderId="76" xfId="0" applyFont="1" applyBorder="1" applyAlignment="1">
      <alignment horizontal="center" vertical="center" wrapText="1"/>
    </xf>
    <xf numFmtId="0" fontId="25" fillId="0" borderId="27" xfId="0" applyFont="1" applyBorder="1" applyAlignment="1">
      <alignment vertical="top" wrapText="1"/>
    </xf>
    <xf numFmtId="0" fontId="25" fillId="0" borderId="61" xfId="0" applyFont="1" applyBorder="1" applyAlignment="1">
      <alignment vertical="center" wrapText="1"/>
    </xf>
    <xf numFmtId="0" fontId="1" fillId="0" borderId="27" xfId="0" applyFont="1" applyBorder="1"/>
    <xf numFmtId="0" fontId="37" fillId="0" borderId="27" xfId="0" applyFont="1" applyBorder="1" applyAlignment="1">
      <alignment horizontal="left" vertical="top" wrapText="1"/>
    </xf>
    <xf numFmtId="0" fontId="32" fillId="0" borderId="0" xfId="0" applyFont="1" applyBorder="1" applyAlignment="1">
      <alignment horizontal="right" vertical="center" wrapText="1"/>
    </xf>
    <xf numFmtId="164" fontId="36" fillId="0" borderId="0" xfId="0" applyNumberFormat="1" applyFont="1" applyBorder="1" applyAlignment="1">
      <alignment horizontal="center" vertical="center" wrapText="1"/>
    </xf>
    <xf numFmtId="0" fontId="28" fillId="11" borderId="2" xfId="0" applyFont="1" applyFill="1" applyBorder="1" applyAlignment="1">
      <alignment vertical="center" wrapText="1"/>
    </xf>
    <xf numFmtId="164" fontId="34" fillId="11" borderId="10" xfId="0" applyNumberFormat="1" applyFont="1" applyFill="1" applyBorder="1" applyAlignment="1">
      <alignment vertical="center" wrapText="1"/>
    </xf>
    <xf numFmtId="164" fontId="34" fillId="11" borderId="2" xfId="0" applyNumberFormat="1" applyFont="1" applyFill="1" applyBorder="1" applyAlignment="1">
      <alignment vertical="center" wrapText="1"/>
    </xf>
    <xf numFmtId="43" fontId="35" fillId="11" borderId="2" xfId="0" applyNumberFormat="1" applyFont="1" applyFill="1" applyBorder="1" applyAlignment="1">
      <alignment vertical="center" wrapText="1"/>
    </xf>
    <xf numFmtId="0" fontId="28" fillId="0" borderId="69" xfId="0" applyFont="1" applyBorder="1" applyAlignment="1">
      <alignment vertical="center" wrapText="1"/>
    </xf>
    <xf numFmtId="0" fontId="28" fillId="0" borderId="10" xfId="0" applyFont="1" applyBorder="1" applyAlignment="1">
      <alignment vertical="center" wrapText="1"/>
    </xf>
    <xf numFmtId="0" fontId="28" fillId="11" borderId="10" xfId="0" applyFont="1" applyFill="1" applyBorder="1" applyAlignment="1">
      <alignment vertical="center" wrapText="1"/>
    </xf>
    <xf numFmtId="0" fontId="28" fillId="0" borderId="58" xfId="0" applyFont="1" applyBorder="1" applyAlignment="1">
      <alignment vertical="center" wrapText="1"/>
    </xf>
    <xf numFmtId="0" fontId="28" fillId="0" borderId="63" xfId="0" applyFont="1" applyBorder="1" applyAlignment="1">
      <alignment vertical="center" wrapText="1"/>
    </xf>
    <xf numFmtId="0" fontId="28" fillId="11" borderId="63" xfId="0" applyFont="1" applyFill="1" applyBorder="1" applyAlignment="1">
      <alignment vertical="center" wrapText="1"/>
    </xf>
    <xf numFmtId="0" fontId="15" fillId="0" borderId="0" xfId="0" applyFont="1" applyProtection="1">
      <protection locked="0"/>
    </xf>
    <xf numFmtId="5" fontId="18" fillId="0" borderId="54" xfId="1" applyNumberFormat="1" applyFont="1" applyFill="1" applyBorder="1" applyAlignment="1" applyProtection="1">
      <alignment horizontal="left" indent="1"/>
    </xf>
    <xf numFmtId="5" fontId="18" fillId="0" borderId="31" xfId="1" applyNumberFormat="1" applyFont="1" applyFill="1" applyBorder="1" applyAlignment="1" applyProtection="1">
      <alignment horizontal="left" indent="1"/>
    </xf>
    <xf numFmtId="37" fontId="18" fillId="0" borderId="31" xfId="1" applyNumberFormat="1" applyFont="1" applyFill="1" applyBorder="1" applyAlignment="1" applyProtection="1">
      <alignment horizontal="left" indent="1"/>
    </xf>
    <xf numFmtId="0" fontId="7" fillId="0" borderId="56" xfId="0" applyFont="1" applyFill="1" applyBorder="1" applyAlignment="1">
      <alignment horizontal="left" indent="1"/>
    </xf>
    <xf numFmtId="165" fontId="18" fillId="0" borderId="56" xfId="2" applyNumberFormat="1" applyFont="1" applyFill="1" applyBorder="1" applyAlignment="1" applyProtection="1">
      <alignment horizontal="left" indent="1"/>
    </xf>
    <xf numFmtId="166" fontId="18" fillId="0" borderId="55" xfId="1" applyNumberFormat="1" applyFont="1" applyFill="1" applyBorder="1" applyAlignment="1" applyProtection="1">
      <alignment horizontal="left" indent="1"/>
    </xf>
    <xf numFmtId="0" fontId="7" fillId="3" borderId="32" xfId="0" applyFont="1" applyFill="1" applyBorder="1" applyAlignment="1">
      <alignment horizontal="left" indent="1"/>
    </xf>
    <xf numFmtId="0" fontId="7" fillId="0" borderId="17" xfId="0" applyFont="1" applyBorder="1" applyAlignment="1">
      <alignment horizontal="left" indent="1"/>
    </xf>
    <xf numFmtId="0" fontId="7" fillId="0" borderId="16" xfId="0" applyFont="1" applyBorder="1" applyAlignment="1">
      <alignment horizontal="left" indent="1"/>
    </xf>
    <xf numFmtId="0" fontId="7" fillId="3" borderId="17" xfId="0" applyFont="1" applyFill="1" applyBorder="1" applyAlignment="1">
      <alignment horizontal="left" indent="1"/>
    </xf>
    <xf numFmtId="0" fontId="7" fillId="3" borderId="35" xfId="0" applyFont="1" applyFill="1" applyBorder="1" applyAlignment="1">
      <alignment horizontal="left" indent="1"/>
    </xf>
    <xf numFmtId="0" fontId="7" fillId="9" borderId="81" xfId="0" applyFont="1" applyFill="1" applyBorder="1" applyAlignment="1">
      <alignment horizontal="left" indent="1"/>
    </xf>
    <xf numFmtId="0" fontId="7" fillId="9" borderId="16" xfId="0" applyFont="1" applyFill="1" applyBorder="1" applyAlignment="1">
      <alignment horizontal="left" indent="1"/>
    </xf>
    <xf numFmtId="0" fontId="7" fillId="9" borderId="17" xfId="0" applyFont="1" applyFill="1" applyBorder="1" applyAlignment="1">
      <alignment horizontal="left" indent="1"/>
    </xf>
    <xf numFmtId="0" fontId="7" fillId="9" borderId="18" xfId="0" applyFont="1" applyFill="1" applyBorder="1" applyAlignment="1">
      <alignment horizontal="left" indent="1"/>
    </xf>
    <xf numFmtId="0" fontId="7" fillId="9" borderId="35" xfId="0" applyFont="1" applyFill="1" applyBorder="1" applyAlignment="1">
      <alignment horizontal="left" indent="1"/>
    </xf>
    <xf numFmtId="0" fontId="7" fillId="7" borderId="81" xfId="0" applyFont="1" applyFill="1" applyBorder="1" applyAlignment="1">
      <alignment horizontal="left" indent="1"/>
    </xf>
    <xf numFmtId="0" fontId="7" fillId="7" borderId="16" xfId="0" applyFont="1" applyFill="1" applyBorder="1" applyAlignment="1">
      <alignment horizontal="left" indent="1"/>
    </xf>
    <xf numFmtId="0" fontId="7" fillId="7" borderId="17" xfId="0" applyFont="1" applyFill="1" applyBorder="1" applyAlignment="1">
      <alignment horizontal="left" indent="1"/>
    </xf>
    <xf numFmtId="0" fontId="7" fillId="7" borderId="18" xfId="0" applyFont="1" applyFill="1" applyBorder="1" applyAlignment="1">
      <alignment horizontal="left" indent="1"/>
    </xf>
    <xf numFmtId="0" fontId="7" fillId="8" borderId="81" xfId="0" applyFont="1" applyFill="1" applyBorder="1" applyAlignment="1">
      <alignment horizontal="left" indent="1"/>
    </xf>
    <xf numFmtId="0" fontId="7" fillId="8" borderId="16" xfId="0" applyFont="1" applyFill="1" applyBorder="1" applyAlignment="1">
      <alignment horizontal="left" indent="1"/>
    </xf>
    <xf numFmtId="0" fontId="7" fillId="8" borderId="17" xfId="0" applyFont="1" applyFill="1" applyBorder="1" applyAlignment="1">
      <alignment horizontal="left" indent="1"/>
    </xf>
    <xf numFmtId="0" fontId="7" fillId="8" borderId="18" xfId="0" applyFont="1" applyFill="1" applyBorder="1" applyAlignment="1">
      <alignment horizontal="left" indent="1"/>
    </xf>
    <xf numFmtId="0" fontId="7" fillId="0" borderId="32" xfId="0" applyFont="1" applyBorder="1" applyAlignment="1">
      <alignment horizontal="left" indent="1"/>
    </xf>
    <xf numFmtId="0" fontId="7" fillId="0" borderId="35" xfId="0" applyFont="1" applyBorder="1" applyAlignment="1">
      <alignment horizontal="left" indent="1"/>
    </xf>
    <xf numFmtId="0" fontId="17" fillId="4" borderId="82" xfId="0" applyFont="1" applyFill="1" applyBorder="1" applyAlignment="1" applyProtection="1">
      <alignment horizontal="center"/>
    </xf>
    <xf numFmtId="0" fontId="16" fillId="4" borderId="83" xfId="0" applyFont="1" applyFill="1" applyBorder="1" applyAlignment="1" applyProtection="1">
      <alignment horizontal="left" indent="1"/>
      <protection locked="0"/>
    </xf>
    <xf numFmtId="0" fontId="16" fillId="4" borderId="84" xfId="0" applyFont="1" applyFill="1" applyBorder="1" applyAlignment="1" applyProtection="1">
      <alignment horizontal="left" indent="1"/>
      <protection locked="0"/>
    </xf>
    <xf numFmtId="0" fontId="16" fillId="4" borderId="85" xfId="0" applyFont="1" applyFill="1" applyBorder="1" applyAlignment="1" applyProtection="1">
      <alignment horizontal="left" indent="1"/>
      <protection locked="0"/>
    </xf>
    <xf numFmtId="165" fontId="16" fillId="4" borderId="84" xfId="2" applyNumberFormat="1" applyFont="1" applyFill="1" applyBorder="1" applyAlignment="1" applyProtection="1">
      <alignment horizontal="left" indent="1"/>
      <protection locked="0"/>
    </xf>
    <xf numFmtId="171" fontId="16" fillId="4" borderId="84" xfId="1" applyNumberFormat="1" applyFont="1" applyFill="1" applyBorder="1" applyAlignment="1" applyProtection="1">
      <alignment horizontal="left" indent="1"/>
      <protection locked="0"/>
    </xf>
    <xf numFmtId="37" fontId="16" fillId="4" borderId="84" xfId="1" applyNumberFormat="1" applyFont="1" applyFill="1" applyBorder="1" applyAlignment="1" applyProtection="1">
      <alignment horizontal="left" indent="1"/>
      <protection locked="0"/>
    </xf>
    <xf numFmtId="37" fontId="16" fillId="4" borderId="86" xfId="1" applyNumberFormat="1" applyFont="1" applyFill="1" applyBorder="1" applyAlignment="1" applyProtection="1">
      <alignment horizontal="left" indent="1"/>
      <protection locked="0"/>
    </xf>
    <xf numFmtId="166" fontId="16" fillId="4" borderId="87" xfId="1" applyNumberFormat="1" applyFont="1" applyFill="1" applyBorder="1" applyAlignment="1" applyProtection="1">
      <alignment horizontal="left" indent="1"/>
      <protection locked="0"/>
    </xf>
    <xf numFmtId="165" fontId="16" fillId="4" borderId="85" xfId="2" applyNumberFormat="1" applyFont="1" applyFill="1" applyBorder="1" applyAlignment="1" applyProtection="1">
      <alignment horizontal="left" indent="1"/>
      <protection locked="0"/>
    </xf>
    <xf numFmtId="165" fontId="16" fillId="4" borderId="88" xfId="2" applyNumberFormat="1" applyFont="1" applyFill="1" applyBorder="1" applyAlignment="1" applyProtection="1">
      <alignment horizontal="left" indent="1"/>
      <protection locked="0"/>
    </xf>
    <xf numFmtId="0" fontId="16" fillId="4" borderId="86" xfId="0" applyFont="1" applyFill="1" applyBorder="1" applyAlignment="1" applyProtection="1">
      <alignment horizontal="left" indent="1"/>
      <protection locked="0"/>
    </xf>
    <xf numFmtId="37" fontId="16" fillId="4" borderId="87" xfId="1" applyNumberFormat="1" applyFont="1" applyFill="1" applyBorder="1" applyAlignment="1" applyProtection="1">
      <alignment horizontal="left" indent="1"/>
      <protection locked="0"/>
    </xf>
    <xf numFmtId="9" fontId="16" fillId="4" borderId="85" xfId="2" applyFont="1" applyFill="1" applyBorder="1" applyAlignment="1" applyProtection="1">
      <alignment horizontal="left" indent="1"/>
      <protection locked="0"/>
    </xf>
    <xf numFmtId="9" fontId="16" fillId="4" borderId="84" xfId="2" applyFont="1" applyFill="1" applyBorder="1" applyAlignment="1" applyProtection="1">
      <alignment horizontal="left" indent="1"/>
      <protection locked="0"/>
    </xf>
    <xf numFmtId="9" fontId="16" fillId="4" borderId="88" xfId="2" applyFont="1" applyFill="1" applyBorder="1" applyAlignment="1" applyProtection="1">
      <alignment horizontal="left" indent="1"/>
      <protection locked="0"/>
    </xf>
    <xf numFmtId="7" fontId="16" fillId="4" borderId="83" xfId="0" applyNumberFormat="1" applyFont="1" applyFill="1" applyBorder="1" applyAlignment="1" applyProtection="1">
      <alignment horizontal="left" indent="1"/>
      <protection locked="0"/>
    </xf>
    <xf numFmtId="7" fontId="16" fillId="4" borderId="84" xfId="0" applyNumberFormat="1" applyFont="1" applyFill="1" applyBorder="1" applyAlignment="1" applyProtection="1">
      <alignment horizontal="left" indent="1"/>
      <protection locked="0"/>
    </xf>
    <xf numFmtId="170" fontId="16" fillId="4" borderId="84" xfId="2" applyNumberFormat="1" applyFont="1" applyFill="1" applyBorder="1" applyAlignment="1" applyProtection="1">
      <alignment horizontal="left" indent="1"/>
      <protection locked="0"/>
    </xf>
    <xf numFmtId="170" fontId="16" fillId="4" borderId="86" xfId="2" applyNumberFormat="1" applyFont="1" applyFill="1" applyBorder="1" applyAlignment="1" applyProtection="1">
      <alignment horizontal="left" indent="1"/>
      <protection locked="0"/>
    </xf>
    <xf numFmtId="5" fontId="16" fillId="4" borderId="87" xfId="1" applyNumberFormat="1" applyFont="1" applyFill="1" applyBorder="1" applyAlignment="1" applyProtection="1">
      <alignment horizontal="left" indent="1"/>
      <protection locked="0"/>
    </xf>
    <xf numFmtId="5" fontId="16" fillId="4" borderId="85" xfId="1" applyNumberFormat="1" applyFont="1" applyFill="1" applyBorder="1" applyAlignment="1" applyProtection="1">
      <alignment horizontal="left" indent="1"/>
      <protection locked="0"/>
    </xf>
    <xf numFmtId="5" fontId="16" fillId="4" borderId="84" xfId="1" applyNumberFormat="1" applyFont="1" applyFill="1" applyBorder="1" applyAlignment="1" applyProtection="1">
      <alignment horizontal="left" indent="1"/>
      <protection locked="0"/>
    </xf>
    <xf numFmtId="5" fontId="16" fillId="4" borderId="88" xfId="1" applyNumberFormat="1" applyFont="1" applyFill="1" applyBorder="1" applyAlignment="1" applyProtection="1">
      <alignment horizontal="left" indent="1"/>
      <protection locked="0"/>
    </xf>
    <xf numFmtId="37" fontId="16" fillId="4" borderId="89" xfId="1" applyNumberFormat="1" applyFont="1" applyFill="1" applyBorder="1" applyAlignment="1" applyProtection="1">
      <alignment horizontal="left" indent="1"/>
      <protection locked="0"/>
    </xf>
    <xf numFmtId="0" fontId="0" fillId="13" borderId="0" xfId="0" applyFill="1"/>
    <xf numFmtId="0" fontId="15" fillId="13" borderId="0" xfId="0" applyFont="1" applyFill="1"/>
    <xf numFmtId="0" fontId="15" fillId="13" borderId="0" xfId="0" applyFont="1" applyFill="1" applyProtection="1"/>
    <xf numFmtId="0" fontId="0" fillId="0" borderId="0" xfId="0" applyProtection="1">
      <protection locked="0"/>
    </xf>
    <xf numFmtId="0" fontId="0" fillId="0" borderId="0" xfId="0" applyProtection="1"/>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33" fillId="2" borderId="7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7" xfId="0" applyFont="1" applyFill="1" applyBorder="1" applyAlignment="1">
      <alignment horizontal="center" vertical="center" wrapText="1"/>
    </xf>
    <xf numFmtId="0" fontId="1" fillId="2" borderId="7" xfId="0" applyFont="1" applyFill="1" applyBorder="1" applyAlignment="1">
      <alignment horizontal="center"/>
    </xf>
    <xf numFmtId="10" fontId="16" fillId="0" borderId="54" xfId="2" applyNumberFormat="1" applyFont="1" applyFill="1" applyBorder="1" applyAlignment="1" applyProtection="1">
      <alignment horizontal="left" indent="1"/>
    </xf>
    <xf numFmtId="10" fontId="16" fillId="0" borderId="31" xfId="2" applyNumberFormat="1" applyFont="1" applyFill="1" applyBorder="1" applyAlignment="1" applyProtection="1">
      <alignment horizontal="left" indent="1"/>
    </xf>
    <xf numFmtId="10" fontId="16" fillId="0" borderId="25" xfId="2" applyNumberFormat="1" applyFont="1" applyFill="1" applyBorder="1" applyAlignment="1" applyProtection="1">
      <alignment horizontal="left" indent="1"/>
    </xf>
    <xf numFmtId="10" fontId="16" fillId="0" borderId="28" xfId="2" applyNumberFormat="1" applyFont="1" applyFill="1" applyBorder="1" applyAlignment="1" applyProtection="1">
      <alignment horizontal="left" indent="1"/>
    </xf>
    <xf numFmtId="10" fontId="16" fillId="0" borderId="55" xfId="2" applyNumberFormat="1" applyFont="1" applyFill="1" applyBorder="1" applyAlignment="1" applyProtection="1">
      <alignment horizontal="left" indent="1"/>
    </xf>
    <xf numFmtId="165" fontId="16" fillId="0" borderId="54" xfId="2" applyNumberFormat="1" applyFont="1" applyFill="1" applyBorder="1" applyAlignment="1" applyProtection="1">
      <alignment horizontal="left" indent="1"/>
    </xf>
    <xf numFmtId="165" fontId="16" fillId="0" borderId="31" xfId="2" applyNumberFormat="1" applyFont="1" applyFill="1" applyBorder="1" applyAlignment="1" applyProtection="1">
      <alignment horizontal="left" indent="1"/>
    </xf>
    <xf numFmtId="165" fontId="16" fillId="0" borderId="55" xfId="2" applyNumberFormat="1" applyFont="1" applyFill="1" applyBorder="1" applyAlignment="1" applyProtection="1">
      <alignment horizontal="left" indent="1"/>
    </xf>
    <xf numFmtId="37" fontId="16" fillId="0" borderId="54" xfId="1" applyNumberFormat="1" applyFont="1" applyFill="1" applyBorder="1" applyAlignment="1" applyProtection="1">
      <alignment horizontal="left" indent="1"/>
    </xf>
    <xf numFmtId="37" fontId="16" fillId="0" borderId="31" xfId="1" applyNumberFormat="1" applyFont="1" applyFill="1" applyBorder="1" applyAlignment="1" applyProtection="1">
      <alignment horizontal="left" indent="1"/>
    </xf>
    <xf numFmtId="37" fontId="16" fillId="0" borderId="25" xfId="1" applyNumberFormat="1" applyFont="1" applyFill="1" applyBorder="1" applyAlignment="1" applyProtection="1">
      <alignment horizontal="left" indent="1"/>
    </xf>
    <xf numFmtId="7" fontId="16" fillId="0" borderId="28" xfId="3" applyNumberFormat="1" applyFont="1" applyFill="1" applyBorder="1" applyAlignment="1" applyProtection="1">
      <alignment horizontal="left" indent="1"/>
    </xf>
    <xf numFmtId="7" fontId="16" fillId="0" borderId="31" xfId="3" applyNumberFormat="1" applyFont="1" applyFill="1" applyBorder="1" applyAlignment="1" applyProtection="1">
      <alignment horizontal="left" indent="1"/>
    </xf>
    <xf numFmtId="7" fontId="16" fillId="0" borderId="55" xfId="3" applyNumberFormat="1" applyFont="1" applyFill="1" applyBorder="1" applyAlignment="1" applyProtection="1">
      <alignment horizontal="left" indent="1"/>
    </xf>
    <xf numFmtId="168" fontId="10" fillId="10" borderId="22" xfId="1" applyNumberFormat="1" applyFont="1" applyFill="1" applyBorder="1" applyAlignment="1">
      <alignment horizontal="right"/>
    </xf>
    <xf numFmtId="0" fontId="0" fillId="0" borderId="10" xfId="0" applyBorder="1"/>
    <xf numFmtId="0" fontId="0" fillId="0" borderId="10" xfId="0" applyBorder="1" applyAlignment="1">
      <alignment horizontal="center"/>
    </xf>
    <xf numFmtId="5" fontId="0" fillId="0" borderId="7" xfId="0" applyNumberFormat="1" applyBorder="1"/>
    <xf numFmtId="0" fontId="0" fillId="0" borderId="7" xfId="0" applyBorder="1" applyAlignment="1">
      <alignment horizontal="center"/>
    </xf>
    <xf numFmtId="172" fontId="0" fillId="0" borderId="2" xfId="0" applyNumberFormat="1" applyBorder="1" applyAlignment="1">
      <alignment horizontal="center"/>
    </xf>
    <xf numFmtId="172" fontId="0" fillId="0" borderId="7" xfId="0" applyNumberFormat="1" applyBorder="1" applyAlignment="1">
      <alignment horizontal="center"/>
    </xf>
    <xf numFmtId="172" fontId="0" fillId="0" borderId="90" xfId="0" applyNumberFormat="1" applyBorder="1" applyAlignment="1">
      <alignment horizontal="center"/>
    </xf>
    <xf numFmtId="172" fontId="0" fillId="0" borderId="23" xfId="0" applyNumberFormat="1" applyBorder="1" applyAlignment="1">
      <alignment horizontal="center"/>
    </xf>
    <xf numFmtId="0" fontId="50" fillId="0" borderId="0" xfId="0" applyFont="1"/>
    <xf numFmtId="0" fontId="50" fillId="0" borderId="0" xfId="0" applyFont="1" applyAlignment="1">
      <alignment horizontal="left" indent="1"/>
    </xf>
    <xf numFmtId="0" fontId="50" fillId="0" borderId="0" xfId="0" applyFont="1" applyAlignment="1"/>
    <xf numFmtId="0" fontId="51" fillId="0" borderId="0" xfId="0" applyFont="1" applyAlignment="1">
      <alignment horizontal="left"/>
    </xf>
    <xf numFmtId="171" fontId="51" fillId="0" borderId="0" xfId="1" applyNumberFormat="1" applyFont="1" applyAlignment="1">
      <alignment horizontal="left"/>
    </xf>
    <xf numFmtId="166" fontId="51" fillId="0" borderId="0" xfId="1" applyNumberFormat="1" applyFont="1" applyAlignment="1">
      <alignment horizontal="left"/>
    </xf>
    <xf numFmtId="0" fontId="50" fillId="0" borderId="0" xfId="0" applyFont="1" applyAlignment="1">
      <alignment horizontal="left"/>
    </xf>
    <xf numFmtId="37" fontId="51" fillId="0" borderId="0" xfId="1" applyNumberFormat="1" applyFont="1" applyAlignment="1">
      <alignment horizontal="left"/>
    </xf>
    <xf numFmtId="7" fontId="51" fillId="0" borderId="0" xfId="1" applyNumberFormat="1" applyFont="1" applyAlignment="1">
      <alignment horizontal="left"/>
    </xf>
    <xf numFmtId="0" fontId="53" fillId="0" borderId="0" xfId="0" applyFont="1" applyAlignment="1">
      <alignment vertical="center"/>
    </xf>
    <xf numFmtId="0" fontId="50" fillId="0" borderId="0" xfId="0" applyFont="1" applyAlignment="1">
      <alignment vertical="center"/>
    </xf>
    <xf numFmtId="0" fontId="54" fillId="0" borderId="15" xfId="0"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54" fillId="0" borderId="23" xfId="0" applyFont="1" applyFill="1" applyBorder="1" applyAlignment="1">
      <alignment horizontal="center" vertical="center" wrapText="1"/>
    </xf>
    <xf numFmtId="0" fontId="54" fillId="0" borderId="30" xfId="0" applyFont="1" applyFill="1" applyBorder="1" applyAlignment="1">
      <alignment horizontal="center" vertical="center" wrapText="1"/>
    </xf>
    <xf numFmtId="0" fontId="55" fillId="0" borderId="0" xfId="0" applyFont="1" applyAlignment="1">
      <alignment horizontal="center"/>
    </xf>
    <xf numFmtId="0" fontId="50" fillId="3" borderId="16" xfId="0" applyFont="1" applyFill="1" applyBorder="1" applyAlignment="1">
      <alignment horizontal="center"/>
    </xf>
    <xf numFmtId="165" fontId="50" fillId="0" borderId="9" xfId="2" applyNumberFormat="1" applyFont="1" applyBorder="1" applyAlignment="1">
      <alignment horizontal="center"/>
    </xf>
    <xf numFmtId="164" fontId="50" fillId="0" borderId="10" xfId="1" applyNumberFormat="1" applyFont="1" applyBorder="1"/>
    <xf numFmtId="7" fontId="50" fillId="0" borderId="10" xfId="3" applyNumberFormat="1" applyFont="1" applyBorder="1"/>
    <xf numFmtId="5" fontId="50" fillId="0" borderId="11" xfId="3" applyNumberFormat="1" applyFont="1" applyBorder="1"/>
    <xf numFmtId="164" fontId="50" fillId="0" borderId="19" xfId="1" applyNumberFormat="1" applyFont="1" applyBorder="1"/>
    <xf numFmtId="5" fontId="50" fillId="0" borderId="28" xfId="3" applyNumberFormat="1" applyFont="1" applyBorder="1"/>
    <xf numFmtId="5" fontId="50" fillId="0" borderId="9" xfId="3" applyNumberFormat="1" applyFont="1" applyBorder="1"/>
    <xf numFmtId="5" fontId="50" fillId="0" borderId="10" xfId="3" applyNumberFormat="1" applyFont="1" applyBorder="1"/>
    <xf numFmtId="169" fontId="50" fillId="0" borderId="16" xfId="1" applyNumberFormat="1" applyFont="1" applyBorder="1" applyAlignment="1">
      <alignment horizontal="right"/>
    </xf>
    <xf numFmtId="0" fontId="50" fillId="3" borderId="17" xfId="0" applyFont="1" applyFill="1" applyBorder="1" applyAlignment="1">
      <alignment horizontal="center"/>
    </xf>
    <xf numFmtId="165" fontId="50" fillId="0" borderId="1" xfId="2" applyNumberFormat="1" applyFont="1" applyBorder="1" applyAlignment="1">
      <alignment horizontal="center"/>
    </xf>
    <xf numFmtId="164" fontId="50" fillId="0" borderId="2" xfId="1" applyNumberFormat="1" applyFont="1" applyBorder="1"/>
    <xf numFmtId="7" fontId="50" fillId="0" borderId="2" xfId="3" applyNumberFormat="1" applyFont="1" applyBorder="1"/>
    <xf numFmtId="5" fontId="50" fillId="0" borderId="3" xfId="3" applyNumberFormat="1" applyFont="1" applyBorder="1"/>
    <xf numFmtId="5" fontId="50" fillId="0" borderId="31" xfId="3" applyNumberFormat="1" applyFont="1" applyBorder="1"/>
    <xf numFmtId="5" fontId="50" fillId="0" borderId="1" xfId="3" applyNumberFormat="1" applyFont="1" applyBorder="1"/>
    <xf numFmtId="5" fontId="50" fillId="0" borderId="2" xfId="3" applyNumberFormat="1" applyFont="1" applyBorder="1"/>
    <xf numFmtId="169" fontId="50" fillId="0" borderId="17" xfId="1" applyNumberFormat="1" applyFont="1" applyBorder="1" applyAlignment="1">
      <alignment horizontal="right"/>
    </xf>
    <xf numFmtId="0" fontId="50" fillId="3" borderId="18" xfId="0" applyFont="1" applyFill="1" applyBorder="1" applyAlignment="1">
      <alignment horizontal="center"/>
    </xf>
    <xf numFmtId="165" fontId="50" fillId="0" borderId="6" xfId="2" applyNumberFormat="1" applyFont="1" applyBorder="1" applyAlignment="1">
      <alignment horizontal="center"/>
    </xf>
    <xf numFmtId="164" fontId="50" fillId="0" borderId="7" xfId="1" applyNumberFormat="1" applyFont="1" applyBorder="1"/>
    <xf numFmtId="7" fontId="50" fillId="0" borderId="7" xfId="3" applyNumberFormat="1" applyFont="1" applyBorder="1"/>
    <xf numFmtId="5" fontId="50" fillId="0" borderId="8" xfId="3" applyNumberFormat="1" applyFont="1" applyBorder="1"/>
    <xf numFmtId="5" fontId="50" fillId="0" borderId="25" xfId="3" applyNumberFormat="1" applyFont="1" applyBorder="1"/>
    <xf numFmtId="5" fontId="50" fillId="0" borderId="6" xfId="3" applyNumberFormat="1" applyFont="1" applyBorder="1"/>
    <xf numFmtId="5" fontId="50" fillId="0" borderId="7" xfId="3" applyNumberFormat="1" applyFont="1" applyBorder="1"/>
    <xf numFmtId="169" fontId="50" fillId="0" borderId="18" xfId="1" applyNumberFormat="1" applyFont="1" applyBorder="1" applyAlignment="1">
      <alignment horizontal="right"/>
    </xf>
    <xf numFmtId="0" fontId="52" fillId="3" borderId="26" xfId="0" applyFont="1" applyFill="1" applyBorder="1" applyAlignment="1">
      <alignment horizontal="center"/>
    </xf>
    <xf numFmtId="164" fontId="52" fillId="0" borderId="22" xfId="0" applyNumberFormat="1" applyFont="1" applyBorder="1"/>
    <xf numFmtId="5" fontId="52" fillId="0" borderId="4" xfId="0" applyNumberFormat="1" applyFont="1" applyBorder="1"/>
    <xf numFmtId="5" fontId="52" fillId="0" borderId="5" xfId="3" applyNumberFormat="1" applyFont="1" applyBorder="1"/>
    <xf numFmtId="5" fontId="52" fillId="0" borderId="29" xfId="3" applyNumberFormat="1" applyFont="1" applyBorder="1"/>
    <xf numFmtId="5" fontId="52" fillId="0" borderId="22" xfId="3" applyNumberFormat="1" applyFont="1" applyBorder="1"/>
    <xf numFmtId="5" fontId="52" fillId="0" borderId="4" xfId="3" applyNumberFormat="1" applyFont="1" applyBorder="1"/>
    <xf numFmtId="167" fontId="52" fillId="0" borderId="26" xfId="3" applyNumberFormat="1" applyFont="1" applyBorder="1"/>
    <xf numFmtId="5" fontId="51" fillId="4" borderId="29" xfId="3" applyNumberFormat="1" applyFont="1" applyFill="1" applyBorder="1"/>
    <xf numFmtId="0" fontId="50" fillId="0" borderId="0" xfId="0" applyFont="1" applyBorder="1"/>
    <xf numFmtId="0" fontId="50" fillId="0" borderId="0" xfId="0" applyFont="1" applyAlignment="1">
      <alignment horizontal="right"/>
    </xf>
    <xf numFmtId="0" fontId="55" fillId="0" borderId="37" xfId="0" applyFont="1" applyBorder="1" applyAlignment="1">
      <alignment horizontal="center"/>
    </xf>
    <xf numFmtId="37" fontId="55" fillId="0" borderId="29" xfId="1" applyNumberFormat="1" applyFont="1" applyBorder="1" applyAlignment="1">
      <alignment horizontal="center"/>
    </xf>
    <xf numFmtId="0" fontId="50" fillId="6" borderId="17" xfId="0" applyFont="1" applyFill="1" applyBorder="1"/>
    <xf numFmtId="0" fontId="50" fillId="6" borderId="27" xfId="0" applyFont="1" applyFill="1" applyBorder="1" applyAlignment="1">
      <alignment horizontal="right"/>
    </xf>
    <xf numFmtId="0" fontId="50" fillId="0" borderId="3" xfId="0" applyFont="1" applyBorder="1" applyAlignment="1">
      <alignment horizontal="center"/>
    </xf>
    <xf numFmtId="37" fontId="50" fillId="0" borderId="3" xfId="0" applyNumberFormat="1" applyFont="1" applyBorder="1" applyAlignment="1">
      <alignment horizontal="center"/>
    </xf>
    <xf numFmtId="0" fontId="50" fillId="6" borderId="35" xfId="0" applyFont="1" applyFill="1" applyBorder="1"/>
    <xf numFmtId="0" fontId="50" fillId="6" borderId="41" xfId="0" applyFont="1" applyFill="1" applyBorder="1" applyAlignment="1">
      <alignment horizontal="right"/>
    </xf>
    <xf numFmtId="37" fontId="50" fillId="0" borderId="24" xfId="0" applyNumberFormat="1" applyFont="1" applyBorder="1" applyAlignment="1">
      <alignment horizontal="center"/>
    </xf>
    <xf numFmtId="0" fontId="50" fillId="5" borderId="38" xfId="0" applyFont="1" applyFill="1" applyBorder="1" applyAlignment="1">
      <alignment horizontal="center"/>
    </xf>
    <xf numFmtId="0" fontId="50" fillId="5" borderId="40" xfId="0" applyFont="1" applyFill="1" applyBorder="1" applyAlignment="1">
      <alignment horizontal="center"/>
    </xf>
    <xf numFmtId="0" fontId="50" fillId="5" borderId="39" xfId="0" applyFont="1" applyFill="1" applyBorder="1" applyAlignment="1">
      <alignment horizontal="center"/>
    </xf>
    <xf numFmtId="164" fontId="50" fillId="0" borderId="1" xfId="1" applyNumberFormat="1" applyFont="1" applyBorder="1" applyAlignment="1">
      <alignment horizontal="left" indent="2"/>
    </xf>
    <xf numFmtId="164" fontId="50" fillId="0" borderId="2" xfId="1" applyNumberFormat="1" applyFont="1" applyBorder="1" applyAlignment="1">
      <alignment horizontal="left" indent="2"/>
    </xf>
    <xf numFmtId="7" fontId="50" fillId="0" borderId="3" xfId="3" applyNumberFormat="1" applyFont="1" applyBorder="1" applyAlignment="1">
      <alignment horizontal="center"/>
    </xf>
    <xf numFmtId="0" fontId="50" fillId="0" borderId="0" xfId="0" applyFont="1" applyAlignment="1">
      <alignment horizontal="center"/>
    </xf>
    <xf numFmtId="5" fontId="50" fillId="0" borderId="0" xfId="0" applyNumberFormat="1" applyFont="1" applyAlignment="1">
      <alignment horizontal="center"/>
    </xf>
    <xf numFmtId="164" fontId="50" fillId="0" borderId="6" xfId="1" applyNumberFormat="1" applyFont="1" applyBorder="1" applyAlignment="1">
      <alignment horizontal="left" indent="2"/>
    </xf>
    <xf numFmtId="164" fontId="50" fillId="0" borderId="7" xfId="1" applyNumberFormat="1" applyFont="1" applyBorder="1" applyAlignment="1">
      <alignment horizontal="left" indent="2"/>
    </xf>
    <xf numFmtId="0" fontId="50" fillId="0" borderId="22" xfId="0" applyFont="1" applyBorder="1" applyAlignment="1">
      <alignment horizontal="center"/>
    </xf>
    <xf numFmtId="0" fontId="50" fillId="0" borderId="4" xfId="0" applyFont="1" applyBorder="1" applyAlignment="1">
      <alignment horizontal="center"/>
    </xf>
    <xf numFmtId="7" fontId="50" fillId="0" borderId="5" xfId="3" applyNumberFormat="1" applyFont="1" applyBorder="1" applyAlignment="1">
      <alignment horizontal="center"/>
    </xf>
    <xf numFmtId="5" fontId="51" fillId="0" borderId="23" xfId="3" applyNumberFormat="1" applyFont="1" applyFill="1" applyBorder="1" applyAlignment="1">
      <alignment horizontal="center"/>
    </xf>
    <xf numFmtId="0" fontId="19" fillId="0" borderId="0" xfId="0" applyFont="1"/>
    <xf numFmtId="0" fontId="56" fillId="17" borderId="0" xfId="0" applyFont="1" applyFill="1"/>
    <xf numFmtId="5" fontId="51" fillId="0" borderId="0" xfId="3" applyNumberFormat="1" applyFont="1" applyFill="1" applyBorder="1" applyAlignment="1">
      <alignment horizontal="center"/>
    </xf>
    <xf numFmtId="0" fontId="16" fillId="4" borderId="88" xfId="0" applyFont="1" applyFill="1" applyBorder="1" applyAlignment="1" applyProtection="1">
      <alignment horizontal="left" indent="1"/>
      <protection locked="0"/>
    </xf>
    <xf numFmtId="0" fontId="7" fillId="9" borderId="101" xfId="0" applyFont="1" applyFill="1" applyBorder="1" applyAlignment="1">
      <alignment horizontal="left" indent="1"/>
    </xf>
    <xf numFmtId="0" fontId="7" fillId="9" borderId="91" xfId="0" applyFont="1" applyFill="1" applyBorder="1" applyAlignment="1">
      <alignment horizontal="left" indent="1"/>
    </xf>
    <xf numFmtId="174" fontId="16" fillId="4" borderId="92" xfId="0" applyNumberFormat="1" applyFont="1" applyFill="1" applyBorder="1" applyAlignment="1" applyProtection="1">
      <alignment horizontal="left" indent="1"/>
      <protection locked="0"/>
    </xf>
    <xf numFmtId="9" fontId="16" fillId="4" borderId="86" xfId="2" applyFont="1" applyFill="1" applyBorder="1" applyAlignment="1" applyProtection="1">
      <alignment horizontal="left" indent="1"/>
      <protection locked="0"/>
    </xf>
    <xf numFmtId="0" fontId="7" fillId="18" borderId="17" xfId="0" applyFont="1" applyFill="1" applyBorder="1" applyAlignment="1">
      <alignment horizontal="left" indent="1"/>
    </xf>
    <xf numFmtId="0" fontId="7" fillId="18" borderId="91" xfId="0" applyFont="1" applyFill="1" applyBorder="1" applyAlignment="1">
      <alignment horizontal="left" indent="1"/>
    </xf>
    <xf numFmtId="0" fontId="7" fillId="18" borderId="35" xfId="0" applyFont="1" applyFill="1" applyBorder="1" applyAlignment="1">
      <alignment horizontal="left" indent="1"/>
    </xf>
    <xf numFmtId="173" fontId="16" fillId="4" borderId="102" xfId="0" applyNumberFormat="1" applyFont="1" applyFill="1" applyBorder="1" applyAlignment="1" applyProtection="1">
      <alignment horizontal="left" indent="1"/>
      <protection locked="0"/>
    </xf>
    <xf numFmtId="7" fontId="57" fillId="0" borderId="8" xfId="3" applyNumberFormat="1" applyFont="1" applyBorder="1" applyAlignment="1">
      <alignment horizontal="center"/>
    </xf>
    <xf numFmtId="0" fontId="57" fillId="17" borderId="0" xfId="0" applyFont="1" applyFill="1"/>
    <xf numFmtId="0" fontId="57" fillId="0" borderId="0" xfId="0" applyFont="1"/>
    <xf numFmtId="0" fontId="57" fillId="0" borderId="0" xfId="0" applyFont="1" applyAlignment="1">
      <alignment horizontal="left" indent="1"/>
    </xf>
    <xf numFmtId="0" fontId="60" fillId="0" borderId="0" xfId="0" applyFont="1"/>
    <xf numFmtId="0" fontId="61" fillId="0" borderId="0" xfId="0" applyFont="1"/>
    <xf numFmtId="0" fontId="62" fillId="0" borderId="0" xfId="0" applyFont="1" applyAlignment="1">
      <alignment horizontal="right" indent="1"/>
    </xf>
    <xf numFmtId="173" fontId="57" fillId="4" borderId="2" xfId="0" applyNumberFormat="1" applyFont="1" applyFill="1" applyBorder="1" applyAlignment="1">
      <alignment horizontal="center" vertical="center"/>
    </xf>
    <xf numFmtId="0" fontId="57" fillId="0" borderId="0" xfId="0" applyFont="1" applyAlignment="1">
      <alignment vertical="center"/>
    </xf>
    <xf numFmtId="0" fontId="57" fillId="0" borderId="93" xfId="0" quotePrefix="1" applyFont="1" applyBorder="1" applyAlignment="1">
      <alignment vertical="center"/>
    </xf>
    <xf numFmtId="164" fontId="61" fillId="0" borderId="15" xfId="1" applyNumberFormat="1" applyFont="1" applyBorder="1" applyAlignment="1">
      <alignment horizontal="right"/>
    </xf>
    <xf numFmtId="0" fontId="61" fillId="0" borderId="51" xfId="0" applyFont="1" applyBorder="1" applyAlignment="1">
      <alignment horizontal="left"/>
    </xf>
    <xf numFmtId="173" fontId="57" fillId="3" borderId="2" xfId="0" applyNumberFormat="1" applyFont="1" applyFill="1" applyBorder="1" applyAlignment="1">
      <alignment horizontal="center" vertical="center"/>
    </xf>
    <xf numFmtId="0" fontId="57" fillId="0" borderId="0" xfId="0" quotePrefix="1" applyFont="1" applyAlignment="1">
      <alignment vertical="center"/>
    </xf>
    <xf numFmtId="0" fontId="61" fillId="0" borderId="23" xfId="0" applyFont="1" applyBorder="1" applyAlignment="1">
      <alignment horizontal="center"/>
    </xf>
    <xf numFmtId="164" fontId="61" fillId="0" borderId="23" xfId="1" applyNumberFormat="1" applyFont="1" applyBorder="1" applyAlignment="1">
      <alignment horizontal="center"/>
    </xf>
    <xf numFmtId="174" fontId="57" fillId="4" borderId="2" xfId="0" applyNumberFormat="1" applyFont="1" applyFill="1" applyBorder="1" applyAlignment="1">
      <alignment horizontal="center" vertical="center"/>
    </xf>
    <xf numFmtId="0" fontId="57" fillId="0" borderId="0" xfId="0" applyFont="1" applyAlignment="1"/>
    <xf numFmtId="0" fontId="57" fillId="0" borderId="0" xfId="0" applyFont="1"/>
    <xf numFmtId="0" fontId="57" fillId="16" borderId="94" xfId="0" applyFont="1" applyFill="1" applyBorder="1"/>
    <xf numFmtId="0" fontId="57" fillId="16" borderId="53" xfId="0" applyFont="1" applyFill="1" applyBorder="1"/>
    <xf numFmtId="0" fontId="57" fillId="16" borderId="53" xfId="0" applyFont="1" applyFill="1" applyBorder="1" applyAlignment="1">
      <alignment horizontal="left" indent="1"/>
    </xf>
    <xf numFmtId="0" fontId="57" fillId="16" borderId="95" xfId="0" applyFont="1" applyFill="1" applyBorder="1"/>
    <xf numFmtId="0" fontId="57" fillId="16" borderId="93" xfId="0" applyFont="1" applyFill="1" applyBorder="1"/>
    <xf numFmtId="0" fontId="57" fillId="16" borderId="26" xfId="0" applyFont="1" applyFill="1" applyBorder="1"/>
    <xf numFmtId="0" fontId="57" fillId="16" borderId="52" xfId="0" applyFont="1" applyFill="1" applyBorder="1"/>
    <xf numFmtId="0" fontId="57" fillId="16" borderId="52" xfId="0" applyFont="1" applyFill="1" applyBorder="1" applyAlignment="1">
      <alignment horizontal="left" indent="1"/>
    </xf>
    <xf numFmtId="0" fontId="57" fillId="16" borderId="99" xfId="0" applyFont="1" applyFill="1" applyBorder="1"/>
    <xf numFmtId="0" fontId="57" fillId="0" borderId="54" xfId="0" applyFont="1" applyBorder="1" applyAlignment="1">
      <alignment horizontal="center" vertical="center" textRotation="90" readingOrder="1"/>
    </xf>
    <xf numFmtId="0" fontId="61" fillId="2" borderId="54" xfId="0" applyFont="1" applyFill="1" applyBorder="1" applyAlignment="1">
      <alignment horizontal="center" vertical="center" wrapText="1"/>
    </xf>
    <xf numFmtId="0" fontId="61" fillId="2" borderId="38" xfId="0" applyFont="1" applyFill="1" applyBorder="1" applyAlignment="1">
      <alignment horizontal="center" vertical="center" wrapText="1"/>
    </xf>
    <xf numFmtId="0" fontId="61" fillId="2" borderId="40" xfId="0" applyFont="1" applyFill="1" applyBorder="1" applyAlignment="1">
      <alignment horizontal="center" vertical="center" wrapText="1"/>
    </xf>
    <xf numFmtId="0" fontId="61" fillId="2" borderId="39" xfId="0" applyFont="1" applyFill="1" applyBorder="1" applyAlignment="1">
      <alignment horizontal="center" vertical="center" wrapText="1"/>
    </xf>
    <xf numFmtId="0" fontId="61" fillId="0" borderId="36" xfId="0" applyFont="1" applyBorder="1"/>
    <xf numFmtId="0" fontId="57" fillId="0" borderId="36" xfId="0" applyFont="1" applyBorder="1" applyAlignment="1">
      <alignment horizontal="center"/>
    </xf>
    <xf numFmtId="164" fontId="57" fillId="0" borderId="96" xfId="1" applyNumberFormat="1" applyFont="1" applyBorder="1"/>
    <xf numFmtId="0" fontId="57" fillId="0" borderId="0" xfId="0" applyFont="1" applyBorder="1"/>
    <xf numFmtId="0" fontId="57" fillId="0" borderId="93" xfId="0" applyFont="1" applyBorder="1" applyAlignment="1">
      <alignment horizontal="left" indent="1"/>
    </xf>
    <xf numFmtId="43" fontId="57" fillId="0" borderId="0" xfId="0" applyNumberFormat="1" applyFont="1" applyBorder="1"/>
    <xf numFmtId="175" fontId="61" fillId="0" borderId="0" xfId="2" applyNumberFormat="1" applyFont="1"/>
    <xf numFmtId="176" fontId="61" fillId="0" borderId="0" xfId="2" applyNumberFormat="1" applyFont="1" applyAlignment="1">
      <alignment horizontal="center"/>
    </xf>
    <xf numFmtId="0" fontId="61" fillId="0" borderId="29" xfId="0" applyFont="1" applyBorder="1" applyAlignment="1">
      <alignment horizontal="center"/>
    </xf>
    <xf numFmtId="0" fontId="57" fillId="0" borderId="29" xfId="0" applyFont="1" applyBorder="1" applyAlignment="1">
      <alignment horizontal="center"/>
    </xf>
    <xf numFmtId="164" fontId="57" fillId="0" borderId="52" xfId="1" applyNumberFormat="1" applyFont="1" applyBorder="1"/>
    <xf numFmtId="165" fontId="57" fillId="0" borderId="99" xfId="2" applyNumberFormat="1" applyFont="1" applyBorder="1" applyAlignment="1">
      <alignment horizontal="left" indent="1"/>
    </xf>
    <xf numFmtId="164" fontId="57" fillId="0" borderId="94" xfId="1" applyNumberFormat="1" applyFont="1" applyBorder="1"/>
    <xf numFmtId="164" fontId="57" fillId="0" borderId="0" xfId="1" applyNumberFormat="1" applyFont="1" applyBorder="1"/>
    <xf numFmtId="10" fontId="57" fillId="0" borderId="93" xfId="2" applyNumberFormat="1" applyFont="1" applyBorder="1" applyAlignment="1">
      <alignment horizontal="left" indent="1"/>
    </xf>
    <xf numFmtId="0" fontId="57" fillId="0" borderId="0" xfId="0" applyFont="1" applyAlignment="1">
      <alignment horizontal="center"/>
    </xf>
    <xf numFmtId="177" fontId="57" fillId="0" borderId="53" xfId="1" applyNumberFormat="1" applyFont="1" applyBorder="1"/>
    <xf numFmtId="164" fontId="57" fillId="0" borderId="0" xfId="1" applyNumberFormat="1" applyFont="1"/>
    <xf numFmtId="177" fontId="57" fillId="0" borderId="0" xfId="1" applyNumberFormat="1" applyFont="1"/>
    <xf numFmtId="164" fontId="57" fillId="15" borderId="38" xfId="1" applyNumberFormat="1" applyFont="1" applyFill="1" applyBorder="1" applyAlignment="1">
      <alignment horizontal="center" vertical="center" wrapText="1"/>
    </xf>
    <xf numFmtId="0" fontId="57" fillId="15" borderId="40" xfId="0" applyFont="1" applyFill="1" applyBorder="1" applyAlignment="1">
      <alignment horizontal="center" vertical="center" wrapText="1"/>
    </xf>
    <xf numFmtId="0" fontId="57" fillId="15" borderId="39" xfId="0" applyFont="1" applyFill="1" applyBorder="1" applyAlignment="1">
      <alignment horizontal="center" vertical="center" wrapText="1"/>
    </xf>
    <xf numFmtId="0" fontId="57" fillId="0" borderId="42" xfId="1" applyNumberFormat="1" applyFont="1" applyBorder="1" applyAlignment="1">
      <alignment horizontal="center"/>
    </xf>
    <xf numFmtId="164" fontId="57" fillId="0" borderId="2" xfId="1" applyNumberFormat="1" applyFont="1" applyBorder="1" applyAlignment="1">
      <alignment horizontal="right"/>
    </xf>
    <xf numFmtId="165" fontId="57" fillId="0" borderId="44" xfId="2" applyNumberFormat="1" applyFont="1" applyBorder="1" applyAlignment="1">
      <alignment horizontal="right" indent="1"/>
    </xf>
    <xf numFmtId="0" fontId="57" fillId="0" borderId="43" xfId="1" applyNumberFormat="1" applyFont="1" applyBorder="1" applyAlignment="1">
      <alignment horizontal="center"/>
    </xf>
    <xf numFmtId="164" fontId="57" fillId="0" borderId="100" xfId="1" applyNumberFormat="1" applyFont="1" applyBorder="1" applyAlignment="1">
      <alignment horizontal="right"/>
    </xf>
    <xf numFmtId="165" fontId="57" fillId="0" borderId="45" xfId="2" applyNumberFormat="1" applyFont="1" applyBorder="1" applyAlignment="1">
      <alignment horizontal="right" indent="1"/>
    </xf>
    <xf numFmtId="0" fontId="57" fillId="0" borderId="0" xfId="0" applyFont="1" applyFill="1"/>
    <xf numFmtId="0" fontId="57" fillId="0" borderId="0" xfId="0" applyFont="1" applyFill="1" applyAlignment="1">
      <alignment horizontal="left" indent="1"/>
    </xf>
    <xf numFmtId="0" fontId="60" fillId="0" borderId="0" xfId="0" applyFont="1" applyFill="1"/>
    <xf numFmtId="0" fontId="61" fillId="0" borderId="0" xfId="0" applyFont="1" applyFill="1"/>
    <xf numFmtId="0" fontId="62" fillId="0" borderId="0" xfId="0" applyFont="1" applyFill="1" applyAlignment="1">
      <alignment horizontal="right" indent="1"/>
    </xf>
    <xf numFmtId="173" fontId="57" fillId="0" borderId="2" xfId="0" applyNumberFormat="1" applyFont="1" applyFill="1" applyBorder="1" applyAlignment="1">
      <alignment horizontal="center" vertical="center"/>
    </xf>
    <xf numFmtId="0" fontId="57" fillId="0" borderId="0" xfId="0" applyFont="1" applyFill="1" applyAlignment="1">
      <alignment vertical="center"/>
    </xf>
    <xf numFmtId="0" fontId="57" fillId="0" borderId="93" xfId="0" quotePrefix="1" applyFont="1" applyFill="1" applyBorder="1" applyAlignment="1">
      <alignment vertical="center"/>
    </xf>
    <xf numFmtId="164" fontId="61" fillId="0" borderId="15" xfId="1" applyNumberFormat="1" applyFont="1" applyFill="1" applyBorder="1" applyAlignment="1">
      <alignment horizontal="right"/>
    </xf>
    <xf numFmtId="0" fontId="61" fillId="0" borderId="51" xfId="0" applyFont="1" applyFill="1" applyBorder="1" applyAlignment="1">
      <alignment horizontal="left"/>
    </xf>
    <xf numFmtId="0" fontId="57" fillId="0" borderId="0" xfId="0" quotePrefix="1" applyFont="1" applyFill="1" applyAlignment="1">
      <alignment vertical="center"/>
    </xf>
    <xf numFmtId="0" fontId="61" fillId="0" borderId="23" xfId="0" applyFont="1" applyFill="1" applyBorder="1" applyAlignment="1">
      <alignment horizontal="center"/>
    </xf>
    <xf numFmtId="164" fontId="61" fillId="0" borderId="23" xfId="1" applyNumberFormat="1" applyFont="1" applyFill="1" applyBorder="1" applyAlignment="1">
      <alignment horizontal="center"/>
    </xf>
    <xf numFmtId="174" fontId="57" fillId="0" borderId="2" xfId="0" applyNumberFormat="1" applyFont="1" applyFill="1" applyBorder="1" applyAlignment="1">
      <alignment horizontal="center" vertical="center"/>
    </xf>
    <xf numFmtId="0" fontId="57" fillId="0" borderId="0" xfId="0" applyFont="1" applyFill="1" applyAlignment="1"/>
    <xf numFmtId="0" fontId="57" fillId="0" borderId="0" xfId="0" applyFont="1" applyAlignment="1">
      <alignment horizontal="left"/>
    </xf>
    <xf numFmtId="165" fontId="51" fillId="0" borderId="0" xfId="2" applyNumberFormat="1" applyFont="1" applyAlignment="1">
      <alignment horizontal="left"/>
    </xf>
    <xf numFmtId="173" fontId="16" fillId="4" borderId="84" xfId="0" applyNumberFormat="1" applyFont="1" applyFill="1" applyBorder="1" applyAlignment="1" applyProtection="1">
      <alignment horizontal="left" indent="1"/>
      <protection locked="0"/>
    </xf>
    <xf numFmtId="178" fontId="51" fillId="0" borderId="0" xfId="1" applyNumberFormat="1" applyFont="1" applyAlignment="1">
      <alignment horizontal="left"/>
    </xf>
    <xf numFmtId="165" fontId="50" fillId="0" borderId="42" xfId="2" applyNumberFormat="1" applyFont="1" applyBorder="1" applyAlignment="1">
      <alignment horizontal="center"/>
    </xf>
    <xf numFmtId="165" fontId="50" fillId="0" borderId="105" xfId="2" applyNumberFormat="1" applyFont="1" applyBorder="1" applyAlignment="1">
      <alignment horizontal="center"/>
    </xf>
    <xf numFmtId="164" fontId="50" fillId="0" borderId="106" xfId="1" applyNumberFormat="1" applyFont="1" applyBorder="1"/>
    <xf numFmtId="165" fontId="12" fillId="0" borderId="0" xfId="2" applyNumberFormat="1" applyFont="1" applyAlignment="1">
      <alignment horizontal="left"/>
    </xf>
    <xf numFmtId="178" fontId="12" fillId="0" borderId="0" xfId="1" applyNumberFormat="1" applyFont="1" applyAlignment="1">
      <alignment horizontal="left"/>
    </xf>
    <xf numFmtId="0" fontId="7" fillId="18" borderId="101" xfId="0" applyFont="1" applyFill="1" applyBorder="1" applyAlignment="1">
      <alignment horizontal="left" indent="1"/>
    </xf>
    <xf numFmtId="0" fontId="5" fillId="0" borderId="0" xfId="0" applyFont="1" applyAlignment="1">
      <alignment horizontal="left" indent="1"/>
    </xf>
    <xf numFmtId="0" fontId="0" fillId="0" borderId="0" xfId="0" applyAlignment="1">
      <alignment horizontal="left" vertical="center" indent="1"/>
    </xf>
    <xf numFmtId="0" fontId="7" fillId="0" borderId="0" xfId="0" applyFont="1" applyAlignment="1">
      <alignment horizontal="left" wrapText="1"/>
    </xf>
    <xf numFmtId="0" fontId="7" fillId="0" borderId="0" xfId="0" applyFont="1" applyAlignment="1"/>
    <xf numFmtId="179" fontId="74" fillId="0" borderId="107" xfId="0" applyNumberFormat="1" applyFont="1" applyBorder="1" applyAlignment="1">
      <alignment horizontal="center" wrapText="1"/>
    </xf>
    <xf numFmtId="179" fontId="74" fillId="0" borderId="108" xfId="0" applyNumberFormat="1" applyFont="1" applyBorder="1" applyAlignment="1">
      <alignment horizontal="center" wrapText="1"/>
    </xf>
    <xf numFmtId="0" fontId="74" fillId="0" borderId="107" xfId="0" applyFont="1" applyBorder="1" applyAlignment="1">
      <alignment horizontal="left" wrapText="1" indent="2"/>
    </xf>
    <xf numFmtId="0" fontId="74" fillId="0" borderId="108" xfId="0" applyFont="1" applyBorder="1" applyAlignment="1">
      <alignment horizontal="left" wrapText="1" indent="2"/>
    </xf>
    <xf numFmtId="0" fontId="78" fillId="0" borderId="0" xfId="0" applyFont="1" applyAlignment="1"/>
    <xf numFmtId="0" fontId="75" fillId="0" borderId="0" xfId="0" applyFont="1" applyAlignment="1">
      <alignment horizontal="left" wrapText="1"/>
    </xf>
    <xf numFmtId="0" fontId="75" fillId="0" borderId="0" xfId="0" applyFont="1" applyAlignment="1"/>
    <xf numFmtId="0" fontId="74" fillId="0" borderId="107" xfId="0" applyFont="1" applyBorder="1" applyAlignment="1">
      <alignment horizontal="center" wrapText="1"/>
    </xf>
    <xf numFmtId="0" fontId="74" fillId="0" borderId="108" xfId="0" applyFont="1" applyBorder="1" applyAlignment="1">
      <alignment horizontal="center" wrapText="1"/>
    </xf>
    <xf numFmtId="0" fontId="79" fillId="0" borderId="0" xfId="0" applyFont="1" applyAlignment="1"/>
    <xf numFmtId="0" fontId="28" fillId="0" borderId="0" xfId="0" applyFont="1" applyAlignment="1">
      <alignment horizontal="center" wrapText="1"/>
    </xf>
    <xf numFmtId="0" fontId="39" fillId="0" borderId="70" xfId="0" applyFont="1" applyBorder="1" applyAlignment="1">
      <alignment horizontal="center" vertical="top" wrapText="1"/>
    </xf>
    <xf numFmtId="0" fontId="39" fillId="0" borderId="71" xfId="0" applyFont="1" applyBorder="1" applyAlignment="1">
      <alignment horizontal="center" vertical="top" wrapText="1"/>
    </xf>
    <xf numFmtId="0" fontId="28" fillId="0" borderId="0" xfId="0" applyFont="1" applyAlignment="1">
      <alignment horizontal="center"/>
    </xf>
    <xf numFmtId="0" fontId="33" fillId="2" borderId="57" xfId="0" applyFont="1" applyFill="1" applyBorder="1" applyAlignment="1">
      <alignment horizontal="center" vertical="center" wrapText="1"/>
    </xf>
    <xf numFmtId="0" fontId="33" fillId="2" borderId="58" xfId="0" applyFont="1" applyFill="1" applyBorder="1" applyAlignment="1">
      <alignment horizontal="center" vertical="center" wrapText="1"/>
    </xf>
    <xf numFmtId="0" fontId="33" fillId="2" borderId="79" xfId="0" applyFont="1" applyFill="1" applyBorder="1" applyAlignment="1">
      <alignment horizontal="center" vertical="center" wrapText="1"/>
    </xf>
    <xf numFmtId="0" fontId="33" fillId="2" borderId="80" xfId="0" applyFont="1" applyFill="1" applyBorder="1" applyAlignment="1">
      <alignment horizontal="center" vertical="center" wrapText="1"/>
    </xf>
    <xf numFmtId="0" fontId="28" fillId="2" borderId="2" xfId="0" applyFont="1" applyFill="1" applyBorder="1" applyAlignment="1">
      <alignment horizontal="center"/>
    </xf>
    <xf numFmtId="1" fontId="38" fillId="0" borderId="68" xfId="0" applyNumberFormat="1" applyFont="1" applyBorder="1" applyAlignment="1">
      <alignment horizontal="center" vertical="top" shrinkToFit="1"/>
    </xf>
    <xf numFmtId="1" fontId="38" fillId="0" borderId="69" xfId="0" applyNumberFormat="1" applyFont="1" applyBorder="1" applyAlignment="1">
      <alignment horizontal="center" vertical="top" shrinkToFit="1"/>
    </xf>
    <xf numFmtId="1" fontId="38" fillId="0" borderId="70" xfId="0" applyNumberFormat="1" applyFont="1" applyBorder="1" applyAlignment="1">
      <alignment horizontal="center" vertical="top" shrinkToFit="1"/>
    </xf>
    <xf numFmtId="1" fontId="38" fillId="0" borderId="71" xfId="0" applyNumberFormat="1" applyFont="1" applyBorder="1" applyAlignment="1">
      <alignment horizontal="center" vertical="top" shrinkToFit="1"/>
    </xf>
    <xf numFmtId="0" fontId="1" fillId="0" borderId="72" xfId="0" applyFont="1" applyBorder="1" applyAlignment="1">
      <alignment horizontal="center" vertical="center"/>
    </xf>
    <xf numFmtId="0" fontId="1" fillId="0" borderId="65" xfId="0" applyFont="1" applyBorder="1" applyAlignment="1">
      <alignment horizontal="center" vertical="center"/>
    </xf>
    <xf numFmtId="0" fontId="1" fillId="0" borderId="27" xfId="0" applyFont="1" applyBorder="1" applyAlignment="1">
      <alignment horizontal="center" vertical="center"/>
    </xf>
    <xf numFmtId="0" fontId="37" fillId="0" borderId="72" xfId="0" applyFont="1" applyBorder="1" applyAlignment="1">
      <alignment horizontal="left" vertical="top" wrapText="1"/>
    </xf>
    <xf numFmtId="0" fontId="37" fillId="0" borderId="65" xfId="0" applyFont="1" applyBorder="1" applyAlignment="1">
      <alignment horizontal="left" vertical="top" wrapText="1"/>
    </xf>
    <xf numFmtId="0" fontId="37" fillId="0" borderId="27" xfId="0" applyFont="1" applyBorder="1" applyAlignment="1">
      <alignment horizontal="left" vertical="top" wrapText="1"/>
    </xf>
    <xf numFmtId="0" fontId="42" fillId="0" borderId="0" xfId="0" applyFont="1" applyAlignment="1">
      <alignment horizontal="center" vertical="center" wrapText="1"/>
    </xf>
    <xf numFmtId="0" fontId="43" fillId="0" borderId="0" xfId="0" applyFont="1" applyAlignment="1">
      <alignment horizontal="center"/>
    </xf>
    <xf numFmtId="0" fontId="44" fillId="12" borderId="72" xfId="0" applyFont="1" applyFill="1" applyBorder="1" applyAlignment="1">
      <alignment horizontal="center" vertical="center" wrapText="1"/>
    </xf>
    <xf numFmtId="0" fontId="44" fillId="12" borderId="65" xfId="0" applyFont="1" applyFill="1" applyBorder="1" applyAlignment="1">
      <alignment horizontal="center" vertical="center" wrapText="1"/>
    </xf>
    <xf numFmtId="0" fontId="44" fillId="12" borderId="27" xfId="0" applyFont="1" applyFill="1" applyBorder="1" applyAlignment="1">
      <alignment horizontal="center" vertical="center" wrapText="1"/>
    </xf>
    <xf numFmtId="0" fontId="46" fillId="0" borderId="2" xfId="0" applyFont="1" applyBorder="1" applyAlignment="1">
      <alignment horizontal="left" vertical="center" wrapText="1" indent="1"/>
    </xf>
    <xf numFmtId="0" fontId="47" fillId="0" borderId="2" xfId="0" applyFont="1" applyBorder="1" applyAlignment="1">
      <alignment horizontal="left" vertical="center" wrapText="1" indent="1"/>
    </xf>
    <xf numFmtId="0" fontId="1" fillId="0" borderId="72" xfId="0" applyFont="1" applyBorder="1" applyAlignment="1">
      <alignment horizontal="center"/>
    </xf>
    <xf numFmtId="0" fontId="1" fillId="0" borderId="65" xfId="0" applyFont="1" applyBorder="1" applyAlignment="1">
      <alignment horizontal="center"/>
    </xf>
    <xf numFmtId="0" fontId="28" fillId="0" borderId="2" xfId="0" applyFont="1" applyBorder="1" applyAlignment="1">
      <alignment horizontal="center" vertical="center" wrapText="1"/>
    </xf>
    <xf numFmtId="0" fontId="32" fillId="0" borderId="0" xfId="0" applyFont="1" applyBorder="1" applyAlignment="1">
      <alignment horizontal="right" wrapText="1" indent="1"/>
    </xf>
    <xf numFmtId="0" fontId="35" fillId="0" borderId="2" xfId="0" applyFont="1" applyBorder="1" applyAlignment="1">
      <alignment horizontal="left" vertical="center" wrapText="1" indent="1"/>
    </xf>
    <xf numFmtId="0" fontId="28" fillId="0" borderId="2" xfId="0" applyFont="1" applyBorder="1" applyAlignment="1">
      <alignment horizontal="left" vertical="center" wrapText="1" inden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63" xfId="0" applyFont="1" applyBorder="1" applyAlignment="1">
      <alignment horizontal="center" vertical="center" wrapText="1"/>
    </xf>
    <xf numFmtId="0" fontId="40" fillId="2" borderId="2" xfId="0" applyFont="1" applyFill="1" applyBorder="1" applyAlignment="1">
      <alignment horizontal="center" vertical="center" wrapText="1"/>
    </xf>
    <xf numFmtId="0" fontId="33" fillId="2" borderId="77" xfId="0" applyFont="1" applyFill="1" applyBorder="1" applyAlignment="1">
      <alignment horizontal="center" vertical="center" wrapText="1"/>
    </xf>
    <xf numFmtId="0" fontId="33" fillId="2" borderId="7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10" xfId="0" applyFont="1" applyBorder="1" applyAlignment="1">
      <alignment horizontal="center" vertical="center" wrapText="1"/>
    </xf>
    <xf numFmtId="0" fontId="34" fillId="0" borderId="2"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27" xfId="0" applyFont="1" applyBorder="1" applyAlignment="1">
      <alignment horizontal="center" vertical="center" wrapText="1"/>
    </xf>
    <xf numFmtId="0" fontId="34" fillId="0" borderId="10" xfId="0" applyFont="1" applyBorder="1" applyAlignment="1">
      <alignment horizontal="center" vertical="center" wrapText="1"/>
    </xf>
    <xf numFmtId="0" fontId="48" fillId="0" borderId="2"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center"/>
    </xf>
    <xf numFmtId="0" fontId="20" fillId="2" borderId="72" xfId="0" applyFont="1" applyFill="1" applyBorder="1" applyAlignment="1">
      <alignment horizontal="center"/>
    </xf>
    <xf numFmtId="0" fontId="20" fillId="2" borderId="65" xfId="0" applyFont="1" applyFill="1" applyBorder="1" applyAlignment="1">
      <alignment horizontal="center"/>
    </xf>
    <xf numFmtId="0" fontId="20" fillId="2" borderId="27" xfId="0" applyFont="1" applyFill="1" applyBorder="1" applyAlignment="1">
      <alignment horizontal="center"/>
    </xf>
    <xf numFmtId="0" fontId="1" fillId="2" borderId="7" xfId="0" applyFont="1" applyFill="1" applyBorder="1" applyAlignment="1">
      <alignment horizontal="center" vertical="center" wrapText="1"/>
    </xf>
    <xf numFmtId="0" fontId="30" fillId="0" borderId="65" xfId="0" applyFont="1" applyBorder="1" applyAlignment="1" applyProtection="1">
      <alignment horizontal="center"/>
      <protection locked="0"/>
    </xf>
    <xf numFmtId="0" fontId="30" fillId="0" borderId="27" xfId="0" applyFont="1" applyBorder="1" applyAlignment="1" applyProtection="1">
      <alignment horizontal="center"/>
      <protection locked="0"/>
    </xf>
    <xf numFmtId="0" fontId="25" fillId="0" borderId="72"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65" xfId="0" applyFont="1" applyBorder="1" applyAlignment="1">
      <alignment horizontal="center" vertical="top" wrapText="1"/>
    </xf>
    <xf numFmtId="0" fontId="25" fillId="0" borderId="27" xfId="0" applyFont="1" applyBorder="1" applyAlignment="1">
      <alignment horizontal="center" vertical="top" wrapText="1"/>
    </xf>
    <xf numFmtId="0" fontId="25" fillId="0" borderId="75" xfId="0" applyFont="1" applyBorder="1" applyAlignment="1">
      <alignment horizontal="center" vertical="top" wrapText="1"/>
    </xf>
    <xf numFmtId="0" fontId="25" fillId="0" borderId="62" xfId="0" applyFont="1" applyBorder="1" applyAlignment="1">
      <alignment horizontal="center" vertical="top" wrapText="1"/>
    </xf>
    <xf numFmtId="0" fontId="2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8" fillId="0" borderId="66" xfId="0" applyFont="1" applyBorder="1" applyAlignment="1">
      <alignment horizontal="center" vertical="top" wrapText="1"/>
    </xf>
    <xf numFmtId="0" fontId="28" fillId="0" borderId="67" xfId="0" applyFont="1" applyBorder="1" applyAlignment="1">
      <alignment horizontal="center" vertical="top" wrapText="1"/>
    </xf>
    <xf numFmtId="0" fontId="25" fillId="0" borderId="60" xfId="0" applyFont="1" applyBorder="1" applyAlignment="1">
      <alignment horizontal="left" vertical="top" wrapText="1"/>
    </xf>
    <xf numFmtId="0" fontId="25" fillId="0" borderId="0" xfId="0" applyFont="1" applyBorder="1" applyAlignment="1">
      <alignment horizontal="left" vertical="top" wrapText="1"/>
    </xf>
    <xf numFmtId="0" fontId="25" fillId="0" borderId="78" xfId="0" applyFont="1" applyBorder="1" applyAlignment="1">
      <alignment horizontal="left" vertical="top" wrapText="1"/>
    </xf>
    <xf numFmtId="0" fontId="25" fillId="0" borderId="57" xfId="0" applyFont="1" applyBorder="1" applyAlignment="1">
      <alignment horizontal="left" vertical="top" wrapText="1"/>
    </xf>
    <xf numFmtId="0" fontId="25" fillId="0" borderId="58" xfId="0" applyFont="1" applyBorder="1" applyAlignment="1">
      <alignment horizontal="left" vertical="top" wrapText="1"/>
    </xf>
    <xf numFmtId="0" fontId="25" fillId="14" borderId="72" xfId="0" applyFont="1" applyFill="1" applyBorder="1" applyAlignment="1">
      <alignment horizontal="center" vertical="top" wrapText="1"/>
    </xf>
    <xf numFmtId="0" fontId="25" fillId="14" borderId="65" xfId="0" applyFont="1" applyFill="1" applyBorder="1" applyAlignment="1">
      <alignment horizontal="center" vertical="top" wrapText="1"/>
    </xf>
    <xf numFmtId="0" fontId="25" fillId="14" borderId="27" xfId="0" applyFont="1" applyFill="1" applyBorder="1" applyAlignment="1">
      <alignment horizontal="center" vertical="top" wrapText="1"/>
    </xf>
    <xf numFmtId="0" fontId="22" fillId="0" borderId="0" xfId="0" applyFont="1" applyAlignment="1">
      <alignment horizontal="left" vertical="center" wrapText="1"/>
    </xf>
    <xf numFmtId="0" fontId="1" fillId="0" borderId="0" xfId="0" applyFont="1" applyAlignment="1">
      <alignment horizontal="left" vertical="center" wrapText="1"/>
    </xf>
    <xf numFmtId="0" fontId="0" fillId="0" borderId="0" xfId="0" quotePrefix="1" applyFont="1" applyAlignment="1">
      <alignment horizontal="left" vertical="center" wrapText="1"/>
    </xf>
    <xf numFmtId="0" fontId="0" fillId="0" borderId="0" xfId="0" applyFont="1" applyAlignment="1">
      <alignment horizontal="left" vertical="center" wrapText="1"/>
    </xf>
    <xf numFmtId="0" fontId="25" fillId="0" borderId="59" xfId="0" applyFont="1" applyBorder="1" applyAlignment="1">
      <alignment horizontal="left" vertical="top" wrapText="1"/>
    </xf>
    <xf numFmtId="0" fontId="25" fillId="0" borderId="0" xfId="0" applyFont="1" applyAlignment="1">
      <alignment horizontal="left" vertical="top" wrapText="1"/>
    </xf>
    <xf numFmtId="0" fontId="25" fillId="0" borderId="49" xfId="0" applyFont="1" applyBorder="1" applyAlignment="1">
      <alignment horizontal="left" vertical="top" wrapText="1"/>
    </xf>
    <xf numFmtId="0" fontId="25" fillId="0" borderId="2" xfId="0" applyFont="1" applyBorder="1" applyAlignment="1">
      <alignment horizontal="left" vertical="top" wrapText="1"/>
    </xf>
    <xf numFmtId="0" fontId="25" fillId="0" borderId="63" xfId="0" applyFont="1" applyBorder="1" applyAlignment="1">
      <alignment horizontal="left" vertical="top" wrapText="1"/>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5" fillId="0" borderId="27" xfId="0" applyFont="1" applyBorder="1" applyAlignment="1">
      <alignment horizontal="center" vertical="center" wrapText="1"/>
    </xf>
    <xf numFmtId="0" fontId="0" fillId="0" borderId="0" xfId="0" applyAlignment="1"/>
    <xf numFmtId="0" fontId="7" fillId="0" borderId="0" xfId="0" applyFont="1" applyAlignment="1">
      <alignment horizontal="left" wrapText="1"/>
    </xf>
    <xf numFmtId="0" fontId="77" fillId="0" borderId="0" xfId="0" applyFont="1" applyAlignment="1">
      <alignment horizontal="left" wrapText="1"/>
    </xf>
    <xf numFmtId="0" fontId="74" fillId="0" borderId="0" xfId="0" applyFont="1" applyAlignment="1">
      <alignment horizontal="left" wrapText="1"/>
    </xf>
    <xf numFmtId="0" fontId="76" fillId="0" borderId="0" xfId="4" applyFont="1" applyAlignment="1">
      <alignment horizontal="left" wrapText="1"/>
    </xf>
    <xf numFmtId="0" fontId="78" fillId="0" borderId="0" xfId="0" applyFont="1" applyAlignment="1">
      <alignment horizontal="left" wrapText="1"/>
    </xf>
    <xf numFmtId="0" fontId="13" fillId="0" borderId="37"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9" xfId="0" applyFont="1" applyBorder="1" applyAlignment="1">
      <alignment horizontal="center" vertical="center" wrapText="1"/>
    </xf>
    <xf numFmtId="0" fontId="13" fillId="9" borderId="37" xfId="0" applyFont="1" applyFill="1" applyBorder="1" applyAlignment="1">
      <alignment horizontal="center" vertical="center" wrapText="1"/>
    </xf>
    <xf numFmtId="0" fontId="13" fillId="9" borderId="36" xfId="0" applyFont="1" applyFill="1" applyBorder="1" applyAlignment="1">
      <alignment horizontal="center" vertical="center" wrapText="1"/>
    </xf>
    <xf numFmtId="0" fontId="13" fillId="9" borderId="103" xfId="0" applyFont="1" applyFill="1" applyBorder="1" applyAlignment="1">
      <alignment horizontal="center" vertical="center" wrapText="1"/>
    </xf>
    <xf numFmtId="0" fontId="13" fillId="18" borderId="37" xfId="0" applyFont="1" applyFill="1" applyBorder="1" applyAlignment="1">
      <alignment horizontal="center" vertical="center" wrapText="1"/>
    </xf>
    <xf numFmtId="0" fontId="13" fillId="18" borderId="36" xfId="0" applyFont="1" applyFill="1" applyBorder="1" applyAlignment="1">
      <alignment horizontal="center" vertical="center" wrapText="1"/>
    </xf>
    <xf numFmtId="0" fontId="13" fillId="18" borderId="29" xfId="0" applyFont="1" applyFill="1" applyBorder="1" applyAlignment="1">
      <alignment horizontal="center" vertical="center" wrapText="1"/>
    </xf>
    <xf numFmtId="0" fontId="13" fillId="8" borderId="37"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9" borderId="104"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13" fillId="18" borderId="104" xfId="0" applyFont="1" applyFill="1" applyBorder="1" applyAlignment="1">
      <alignment horizontal="center" vertical="center" wrapText="1"/>
    </xf>
    <xf numFmtId="0" fontId="57" fillId="0" borderId="0" xfId="0" applyFont="1" applyAlignment="1">
      <alignment horizontal="left" vertical="top" wrapText="1"/>
    </xf>
    <xf numFmtId="0" fontId="58" fillId="0" borderId="0" xfId="0" applyFont="1" applyFill="1" applyAlignment="1">
      <alignment horizontal="center"/>
    </xf>
    <xf numFmtId="0" fontId="58" fillId="0" borderId="0" xfId="0" applyFont="1" applyAlignment="1">
      <alignment horizontal="center"/>
    </xf>
    <xf numFmtId="0" fontId="57" fillId="0" borderId="0" xfId="0" applyFont="1"/>
    <xf numFmtId="0" fontId="62" fillId="16" borderId="96" xfId="0" applyFont="1" applyFill="1" applyBorder="1" applyAlignment="1">
      <alignment horizontal="left" vertical="center" indent="4"/>
    </xf>
    <xf numFmtId="0" fontId="62" fillId="16" borderId="97" xfId="0" applyFont="1" applyFill="1" applyBorder="1" applyAlignment="1">
      <alignment horizontal="center"/>
    </xf>
    <xf numFmtId="0" fontId="62" fillId="16" borderId="98" xfId="0" applyFont="1" applyFill="1" applyBorder="1" applyAlignment="1">
      <alignment horizontal="center"/>
    </xf>
    <xf numFmtId="0" fontId="57" fillId="0" borderId="0" xfId="0" applyFont="1" applyAlignment="1">
      <alignment vertical="center" wrapText="1"/>
    </xf>
    <xf numFmtId="0" fontId="57" fillId="0" borderId="50" xfId="0" quotePrefix="1" applyFont="1" applyBorder="1" applyAlignment="1">
      <alignment horizontal="left" vertical="center" indent="1"/>
    </xf>
    <xf numFmtId="0" fontId="57" fillId="0" borderId="0" xfId="0" quotePrefix="1" applyFont="1" applyBorder="1" applyAlignment="1">
      <alignment horizontal="left" vertical="center" indent="1"/>
    </xf>
    <xf numFmtId="0" fontId="57" fillId="0" borderId="0" xfId="0" applyFont="1" applyFill="1" applyAlignment="1">
      <alignment vertical="center" wrapText="1"/>
    </xf>
    <xf numFmtId="0" fontId="57" fillId="0" borderId="50" xfId="0" quotePrefix="1" applyFont="1" applyFill="1" applyBorder="1" applyAlignment="1">
      <alignment horizontal="left" vertical="center" indent="1"/>
    </xf>
    <xf numFmtId="0" fontId="57" fillId="0" borderId="0" xfId="0" quotePrefix="1" applyFont="1" applyFill="1" applyBorder="1" applyAlignment="1">
      <alignment horizontal="left" vertical="center" indent="1"/>
    </xf>
    <xf numFmtId="0" fontId="62" fillId="16" borderId="98" xfId="0" applyFont="1" applyFill="1" applyBorder="1" applyAlignment="1">
      <alignment horizontal="center" vertical="center"/>
    </xf>
    <xf numFmtId="0" fontId="50" fillId="5" borderId="32" xfId="0" applyFont="1" applyFill="1" applyBorder="1" applyAlignment="1">
      <alignment horizontal="center"/>
    </xf>
    <xf numFmtId="0" fontId="50" fillId="5" borderId="33" xfId="0" applyFont="1" applyFill="1" applyBorder="1" applyAlignment="1">
      <alignment horizontal="center"/>
    </xf>
    <xf numFmtId="0" fontId="50" fillId="5" borderId="34" xfId="0" applyFont="1" applyFill="1" applyBorder="1" applyAlignment="1">
      <alignment horizontal="center"/>
    </xf>
    <xf numFmtId="0" fontId="49" fillId="0" borderId="0" xfId="0" applyFont="1" applyFill="1" applyAlignment="1">
      <alignment horizontal="center" vertical="center"/>
    </xf>
    <xf numFmtId="0" fontId="52" fillId="9" borderId="15" xfId="0" applyFont="1" applyFill="1" applyBorder="1" applyAlignment="1">
      <alignment horizontal="center" vertical="center"/>
    </xf>
    <xf numFmtId="0" fontId="52" fillId="9" borderId="30" xfId="0" applyFont="1" applyFill="1" applyBorder="1" applyAlignment="1">
      <alignment horizontal="center" vertical="center"/>
    </xf>
    <xf numFmtId="0" fontId="52" fillId="9" borderId="51" xfId="0" applyFont="1" applyFill="1" applyBorder="1" applyAlignment="1">
      <alignment horizontal="center" vertical="center"/>
    </xf>
    <xf numFmtId="0" fontId="52" fillId="7" borderId="15" xfId="0" applyFont="1" applyFill="1" applyBorder="1" applyAlignment="1">
      <alignment horizontal="center" vertical="center"/>
    </xf>
    <xf numFmtId="0" fontId="52" fillId="7" borderId="30" xfId="0" applyFont="1" applyFill="1" applyBorder="1" applyAlignment="1">
      <alignment horizontal="center" vertical="center"/>
    </xf>
    <xf numFmtId="0" fontId="52" fillId="7" borderId="51" xfId="0" applyFont="1" applyFill="1" applyBorder="1" applyAlignment="1">
      <alignment horizontal="center" vertical="center"/>
    </xf>
    <xf numFmtId="0" fontId="52" fillId="8" borderId="15" xfId="0" applyFont="1" applyFill="1" applyBorder="1" applyAlignment="1">
      <alignment horizontal="center" vertical="center"/>
    </xf>
    <xf numFmtId="0" fontId="52" fillId="8" borderId="30" xfId="0" applyFont="1" applyFill="1" applyBorder="1" applyAlignment="1">
      <alignment horizontal="center" vertical="center"/>
    </xf>
    <xf numFmtId="0" fontId="52" fillId="8" borderId="51" xfId="0" applyFont="1" applyFill="1" applyBorder="1" applyAlignment="1">
      <alignment horizontal="center" vertical="center"/>
    </xf>
    <xf numFmtId="165" fontId="52" fillId="10" borderId="15" xfId="2" applyNumberFormat="1" applyFont="1" applyFill="1" applyBorder="1" applyAlignment="1">
      <alignment horizontal="center" vertical="center"/>
    </xf>
    <xf numFmtId="165" fontId="52" fillId="10" borderId="51" xfId="2" applyNumberFormat="1" applyFont="1" applyFill="1" applyBorder="1" applyAlignment="1">
      <alignment horizontal="center" vertical="center"/>
    </xf>
    <xf numFmtId="0" fontId="4" fillId="0" borderId="0" xfId="0" applyFont="1" applyFill="1" applyAlignment="1">
      <alignment horizontal="center" vertical="center"/>
    </xf>
    <xf numFmtId="0" fontId="0" fillId="0" borderId="0" xfId="0" applyAlignment="1">
      <alignment horizontal="left" vertical="top" wrapText="1" indent="1"/>
    </xf>
    <xf numFmtId="0" fontId="6" fillId="9" borderId="15"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51"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51"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30" xfId="0" applyFont="1" applyFill="1" applyBorder="1" applyAlignment="1">
      <alignment horizontal="center" vertical="center"/>
    </xf>
    <xf numFmtId="0" fontId="6" fillId="8" borderId="51" xfId="0" applyFont="1" applyFill="1" applyBorder="1" applyAlignment="1">
      <alignment horizontal="center" vertical="center"/>
    </xf>
    <xf numFmtId="165" fontId="6" fillId="10" borderId="15" xfId="2" applyNumberFormat="1" applyFont="1" applyFill="1" applyBorder="1" applyAlignment="1">
      <alignment horizontal="center" vertical="center"/>
    </xf>
    <xf numFmtId="165" fontId="6" fillId="10" borderId="51" xfId="2" applyNumberFormat="1" applyFont="1" applyFill="1" applyBorder="1" applyAlignment="1">
      <alignment horizontal="center" vertical="center"/>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2" defaultPivotStyle="PivotStyleLight16"/>
  <colors>
    <mruColors>
      <color rgb="FFFCE4D6"/>
      <color rgb="FF757171"/>
      <color rgb="FF0000FF"/>
      <color rgb="FFFBFDB7"/>
      <color rgb="FFFFCCFF"/>
      <color rgb="FFFF99FF"/>
      <color rgb="FFFF99CC"/>
      <color rgb="FFFFFFFF"/>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Production Decline Curve - OIL</a:t>
            </a:r>
          </a:p>
        </c:rich>
      </c:tx>
      <c:overlay val="0"/>
    </c:title>
    <c:autoTitleDeleted val="0"/>
    <c:plotArea>
      <c:layout>
        <c:manualLayout>
          <c:layoutTarget val="inner"/>
          <c:xMode val="edge"/>
          <c:yMode val="edge"/>
          <c:x val="0.14578458180349543"/>
          <c:y val="0.12135701162812804"/>
          <c:w val="0.82365972858310665"/>
          <c:h val="0.73910794892523057"/>
        </c:manualLayout>
      </c:layout>
      <c:lineChart>
        <c:grouping val="standard"/>
        <c:varyColors val="0"/>
        <c:ser>
          <c:idx val="1"/>
          <c:order val="0"/>
          <c:spPr>
            <a:ln>
              <a:solidFill>
                <a:srgbClr val="00B050"/>
              </a:solidFill>
            </a:ln>
          </c:spPr>
          <c:marker>
            <c:symbol val="none"/>
          </c:marker>
          <c:val>
            <c:numRef>
              <c:f>CALCULATIONS!$V$411:$V$435</c:f>
              <c:numCache>
                <c:formatCode>_(* #,##0_);_(* \(#,##0\);_(* "-"??_);_(@_)</c:formatCode>
                <c:ptCount val="25"/>
                <c:pt idx="0">
                  <c:v>25091.578417700963</c:v>
                </c:pt>
                <c:pt idx="1">
                  <c:v>15020.736907426564</c:v>
                </c:pt>
                <c:pt idx="2">
                  <c:v>11009.964101895694</c:v>
                </c:pt>
                <c:pt idx="3">
                  <c:v>8793.500540948382</c:v>
                </c:pt>
                <c:pt idx="4">
                  <c:v>7370.554440278429</c:v>
                </c:pt>
                <c:pt idx="5">
                  <c:v>6372.8835498910903</c:v>
                </c:pt>
                <c:pt idx="6">
                  <c:v>5631.2751651603949</c:v>
                </c:pt>
                <c:pt idx="7">
                  <c:v>5066.4873229154282</c:v>
                </c:pt>
                <c:pt idx="8">
                  <c:v>4565.0369283168793</c:v>
                </c:pt>
                <c:pt idx="9">
                  <c:v>4108.5332354851917</c:v>
                </c:pt>
                <c:pt idx="10">
                  <c:v>3697.6799119366719</c:v>
                </c:pt>
                <c:pt idx="11">
                  <c:v>3327.9119207430049</c:v>
                </c:pt>
                <c:pt idx="12">
                  <c:v>2995.1207286687045</c:v>
                </c:pt>
                <c:pt idx="13">
                  <c:v>2695.6086558018342</c:v>
                </c:pt>
                <c:pt idx="14">
                  <c:v>2426.0477902216508</c:v>
                </c:pt>
                <c:pt idx="15">
                  <c:v>2183.4430111994857</c:v>
                </c:pt>
                <c:pt idx="16">
                  <c:v>1965.0987100795373</c:v>
                </c:pt>
                <c:pt idx="17">
                  <c:v>1768.5888390715836</c:v>
                </c:pt>
                <c:pt idx="18">
                  <c:v>1591.7299551644253</c:v>
                </c:pt>
                <c:pt idx="19">
                  <c:v>1432.5569596479829</c:v>
                </c:pt>
                <c:pt idx="20">
                  <c:v>1289.3012636831847</c:v>
                </c:pt>
                <c:pt idx="21">
                  <c:v>1160.371137314866</c:v>
                </c:pt>
                <c:pt idx="22">
                  <c:v>1044.3340235833793</c:v>
                </c:pt>
                <c:pt idx="23">
                  <c:v>939.9006212250415</c:v>
                </c:pt>
                <c:pt idx="24">
                  <c:v>845.91055910253738</c:v>
                </c:pt>
              </c:numCache>
            </c:numRef>
          </c:val>
          <c:smooth val="1"/>
          <c:extLst>
            <c:ext xmlns:c16="http://schemas.microsoft.com/office/drawing/2014/chart" uri="{C3380CC4-5D6E-409C-BE32-E72D297353CC}">
              <c16:uniqueId val="{00000000-4815-4B6C-86AD-9358C1E84AD2}"/>
            </c:ext>
          </c:extLst>
        </c:ser>
        <c:dLbls>
          <c:showLegendKey val="0"/>
          <c:showVal val="0"/>
          <c:showCatName val="0"/>
          <c:showSerName val="0"/>
          <c:showPercent val="0"/>
          <c:showBubbleSize val="0"/>
        </c:dLbls>
        <c:smooth val="0"/>
        <c:axId val="330504288"/>
        <c:axId val="330502328"/>
      </c:lineChart>
      <c:catAx>
        <c:axId val="330504288"/>
        <c:scaling>
          <c:orientation val="minMax"/>
        </c:scaling>
        <c:delete val="0"/>
        <c:axPos val="b"/>
        <c:majorGridlines/>
        <c:title>
          <c:tx>
            <c:rich>
              <a:bodyPr/>
              <a:lstStyle/>
              <a:p>
                <a:pPr>
                  <a:defRPr/>
                </a:pPr>
                <a:r>
                  <a:rPr lang="en-US"/>
                  <a:t>FORECAST</a:t>
                </a:r>
                <a:r>
                  <a:rPr lang="en-US" baseline="0"/>
                  <a:t>ED </a:t>
                </a:r>
                <a:r>
                  <a:rPr lang="en-US"/>
                  <a:t>YEARS</a:t>
                </a:r>
              </a:p>
            </c:rich>
          </c:tx>
          <c:layout>
            <c:manualLayout>
              <c:xMode val="edge"/>
              <c:yMode val="edge"/>
              <c:x val="0.45842923044411321"/>
              <c:y val="0.92851113934092866"/>
            </c:manualLayout>
          </c:layout>
          <c:overlay val="0"/>
        </c:title>
        <c:majorTickMark val="out"/>
        <c:minorTickMark val="none"/>
        <c:tickLblPos val="nextTo"/>
        <c:txPr>
          <a:bodyPr/>
          <a:lstStyle/>
          <a:p>
            <a:pPr>
              <a:defRPr sz="800"/>
            </a:pPr>
            <a:endParaRPr lang="en-US"/>
          </a:p>
        </c:txPr>
        <c:crossAx val="330502328"/>
        <c:crosses val="autoZero"/>
        <c:auto val="1"/>
        <c:lblAlgn val="ctr"/>
        <c:lblOffset val="100"/>
        <c:noMultiLvlLbl val="0"/>
      </c:catAx>
      <c:valAx>
        <c:axId val="330502328"/>
        <c:scaling>
          <c:logBase val="10"/>
          <c:orientation val="minMax"/>
          <c:min val="100"/>
        </c:scaling>
        <c:delete val="0"/>
        <c:axPos val="l"/>
        <c:minorGridlines/>
        <c:title>
          <c:tx>
            <c:rich>
              <a:bodyPr rot="-5400000" vert="horz"/>
              <a:lstStyle/>
              <a:p>
                <a:pPr>
                  <a:defRPr/>
                </a:pPr>
                <a:r>
                  <a:rPr lang="en-US"/>
                  <a:t>ANNUAL PRODUCTION</a:t>
                </a:r>
              </a:p>
            </c:rich>
          </c:tx>
          <c:overlay val="0"/>
        </c:title>
        <c:numFmt formatCode="_(* #,##0_);_(* \(#,##0\);_(* &quot;-&quot;??_);_(@_)" sourceLinked="1"/>
        <c:majorTickMark val="out"/>
        <c:minorTickMark val="none"/>
        <c:tickLblPos val="nextTo"/>
        <c:crossAx val="330504288"/>
        <c:crosses val="autoZero"/>
        <c:crossBetween val="between"/>
      </c:valAx>
      <c:spPr>
        <a:solidFill>
          <a:schemeClr val="bg2"/>
        </a:solidFill>
        <a:ln>
          <a:solidFill>
            <a:schemeClr val="tx1">
              <a:tint val="75000"/>
              <a:shade val="95000"/>
              <a:satMod val="105000"/>
            </a:schemeClr>
          </a:solidFill>
        </a:ln>
      </c:spPr>
    </c:plotArea>
    <c:plotVisOnly val="1"/>
    <c:dispBlanksAs val="gap"/>
    <c:showDLblsOverMax val="0"/>
  </c:chart>
  <c:spPr>
    <a:solidFill>
      <a:srgbClr val="FFFFFF"/>
    </a:solidFill>
    <a:ln w="15875"/>
    <a:effectLst>
      <a:outerShdw blurRad="50800" dist="38100" dir="2700000" algn="tl" rotWithShape="0">
        <a:prstClr val="black">
          <a:alpha val="40000"/>
        </a:prst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Production Decline Curve - GAS</a:t>
            </a:r>
          </a:p>
        </c:rich>
      </c:tx>
      <c:overlay val="0"/>
    </c:title>
    <c:autoTitleDeleted val="0"/>
    <c:plotArea>
      <c:layout>
        <c:manualLayout>
          <c:layoutTarget val="inner"/>
          <c:xMode val="edge"/>
          <c:yMode val="edge"/>
          <c:x val="0.16670312308521446"/>
          <c:y val="0.12135701162812804"/>
          <c:w val="0.80274134698121091"/>
          <c:h val="0.74548476343022396"/>
        </c:manualLayout>
      </c:layout>
      <c:lineChart>
        <c:grouping val="standard"/>
        <c:varyColors val="0"/>
        <c:ser>
          <c:idx val="1"/>
          <c:order val="0"/>
          <c:marker>
            <c:symbol val="none"/>
          </c:marker>
          <c:val>
            <c:numRef>
              <c:f>CALCULATIONS!$AK$411:$AK$435</c:f>
              <c:numCache>
                <c:formatCode>_(* #,##0_);_(* \(#,##0\);_(* "-"??_);_(@_)</c:formatCode>
                <c:ptCount val="25"/>
                <c:pt idx="0">
                  <c:v>206161.37201960411</c:v>
                </c:pt>
                <c:pt idx="1">
                  <c:v>98407.492053480339</c:v>
                </c:pt>
                <c:pt idx="2">
                  <c:v>65273.506113161689</c:v>
                </c:pt>
                <c:pt idx="3">
                  <c:v>48916.401545160836</c:v>
                </c:pt>
                <c:pt idx="4">
                  <c:v>39135.965428761789</c:v>
                </c:pt>
                <c:pt idx="5">
                  <c:v>32668.13339862875</c:v>
                </c:pt>
                <c:pt idx="6">
                  <c:v>27882.633152892857</c:v>
                </c:pt>
                <c:pt idx="7">
                  <c:v>23700.238179958931</c:v>
                </c:pt>
                <c:pt idx="8">
                  <c:v>20145.202452965088</c:v>
                </c:pt>
                <c:pt idx="9">
                  <c:v>17123.422085020327</c:v>
                </c:pt>
                <c:pt idx="10">
                  <c:v>14554.908772267276</c:v>
                </c:pt>
                <c:pt idx="11">
                  <c:v>12371.672456427188</c:v>
                </c:pt>
                <c:pt idx="12">
                  <c:v>10515.921587963108</c:v>
                </c:pt>
                <c:pt idx="13">
                  <c:v>8938.5333497686406</c:v>
                </c:pt>
                <c:pt idx="14">
                  <c:v>7597.7533473033454</c:v>
                </c:pt>
                <c:pt idx="15">
                  <c:v>6458.0903452078428</c:v>
                </c:pt>
                <c:pt idx="16">
                  <c:v>5489.3767934266671</c:v>
                </c:pt>
                <c:pt idx="17">
                  <c:v>4665.9702744126662</c:v>
                </c:pt>
                <c:pt idx="18">
                  <c:v>3966.0747332507658</c:v>
                </c:pt>
                <c:pt idx="19">
                  <c:v>3371.1635232631511</c:v>
                </c:pt>
                <c:pt idx="20">
                  <c:v>2865.4889947736783</c:v>
                </c:pt>
                <c:pt idx="21">
                  <c:v>2435.6656455576258</c:v>
                </c:pt>
                <c:pt idx="22">
                  <c:v>2070.3157987239824</c:v>
                </c:pt>
                <c:pt idx="23">
                  <c:v>1759.7684289153854</c:v>
                </c:pt>
                <c:pt idx="24">
                  <c:v>1495.803164578077</c:v>
                </c:pt>
              </c:numCache>
            </c:numRef>
          </c:val>
          <c:smooth val="1"/>
          <c:extLst>
            <c:ext xmlns:c16="http://schemas.microsoft.com/office/drawing/2014/chart" uri="{C3380CC4-5D6E-409C-BE32-E72D297353CC}">
              <c16:uniqueId val="{00000000-D301-4414-9C5E-2336D1E90B7E}"/>
            </c:ext>
          </c:extLst>
        </c:ser>
        <c:dLbls>
          <c:showLegendKey val="0"/>
          <c:showVal val="0"/>
          <c:showCatName val="0"/>
          <c:showSerName val="0"/>
          <c:showPercent val="0"/>
          <c:showBubbleSize val="0"/>
        </c:dLbls>
        <c:smooth val="0"/>
        <c:axId val="330504288"/>
        <c:axId val="330502328"/>
      </c:lineChart>
      <c:catAx>
        <c:axId val="330504288"/>
        <c:scaling>
          <c:orientation val="minMax"/>
        </c:scaling>
        <c:delete val="0"/>
        <c:axPos val="b"/>
        <c:majorGridlines/>
        <c:title>
          <c:tx>
            <c:rich>
              <a:bodyPr/>
              <a:lstStyle/>
              <a:p>
                <a:pPr>
                  <a:defRPr/>
                </a:pPr>
                <a:r>
                  <a:rPr lang="en-US"/>
                  <a:t>FORECAST</a:t>
                </a:r>
                <a:r>
                  <a:rPr lang="en-US" baseline="0"/>
                  <a:t>ED </a:t>
                </a:r>
                <a:r>
                  <a:rPr lang="en-US"/>
                  <a:t>YEARS</a:t>
                </a:r>
              </a:p>
            </c:rich>
          </c:tx>
          <c:layout>
            <c:manualLayout>
              <c:xMode val="edge"/>
              <c:yMode val="edge"/>
              <c:x val="0.46993449045127333"/>
              <c:y val="0.92851113934092866"/>
            </c:manualLayout>
          </c:layout>
          <c:overlay val="0"/>
        </c:title>
        <c:majorTickMark val="out"/>
        <c:minorTickMark val="none"/>
        <c:tickLblPos val="nextTo"/>
        <c:txPr>
          <a:bodyPr/>
          <a:lstStyle/>
          <a:p>
            <a:pPr>
              <a:defRPr sz="800"/>
            </a:pPr>
            <a:endParaRPr lang="en-US"/>
          </a:p>
        </c:txPr>
        <c:crossAx val="330502328"/>
        <c:crosses val="autoZero"/>
        <c:auto val="1"/>
        <c:lblAlgn val="ctr"/>
        <c:lblOffset val="100"/>
        <c:noMultiLvlLbl val="0"/>
      </c:catAx>
      <c:valAx>
        <c:axId val="330502328"/>
        <c:scaling>
          <c:logBase val="10"/>
          <c:orientation val="minMax"/>
          <c:min val="1000"/>
        </c:scaling>
        <c:delete val="0"/>
        <c:axPos val="l"/>
        <c:minorGridlines/>
        <c:title>
          <c:tx>
            <c:rich>
              <a:bodyPr rot="-5400000" vert="horz"/>
              <a:lstStyle/>
              <a:p>
                <a:pPr>
                  <a:defRPr/>
                </a:pPr>
                <a:r>
                  <a:rPr lang="en-US"/>
                  <a:t>ANNUAL PRODUCTION</a:t>
                </a:r>
              </a:p>
            </c:rich>
          </c:tx>
          <c:layout>
            <c:manualLayout>
              <c:xMode val="edge"/>
              <c:yMode val="edge"/>
              <c:x val="1.8826665542227734E-2"/>
              <c:y val="0.29941529129991612"/>
            </c:manualLayout>
          </c:layout>
          <c:overlay val="0"/>
        </c:title>
        <c:numFmt formatCode="_(* #,##0_);_(* \(#,##0\);_(* &quot;-&quot;??_);_(@_)" sourceLinked="1"/>
        <c:majorTickMark val="out"/>
        <c:minorTickMark val="none"/>
        <c:tickLblPos val="nextTo"/>
        <c:crossAx val="330504288"/>
        <c:crosses val="autoZero"/>
        <c:crossBetween val="between"/>
      </c:valAx>
      <c:spPr>
        <a:solidFill>
          <a:schemeClr val="bg2"/>
        </a:solidFill>
        <a:ln>
          <a:solidFill>
            <a:schemeClr val="tx1">
              <a:tint val="75000"/>
              <a:shade val="95000"/>
              <a:satMod val="105000"/>
            </a:schemeClr>
          </a:solidFill>
        </a:ln>
      </c:spPr>
    </c:plotArea>
    <c:plotVisOnly val="1"/>
    <c:dispBlanksAs val="gap"/>
    <c:showDLblsOverMax val="0"/>
  </c:chart>
  <c:spPr>
    <a:solidFill>
      <a:srgbClr val="FFFFFF"/>
    </a:solidFill>
    <a:ln w="15875"/>
    <a:effectLst>
      <a:outerShdw blurRad="50800" dist="38100" dir="2700000" algn="tl" rotWithShape="0">
        <a:prstClr val="black">
          <a:alpha val="40000"/>
        </a:prstClr>
      </a:outerShdw>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831273</xdr:colOff>
      <xdr:row>79</xdr:row>
      <xdr:rowOff>51955</xdr:rowOff>
    </xdr:from>
    <xdr:to>
      <xdr:col>27</xdr:col>
      <xdr:colOff>510886</xdr:colOff>
      <xdr:row>100</xdr:row>
      <xdr:rowOff>155863</xdr:rowOff>
    </xdr:to>
    <xdr:graphicFrame macro="">
      <xdr:nvGraphicFramePr>
        <xdr:cNvPr id="4" name="Chart 3">
          <a:extLst>
            <a:ext uri="{FF2B5EF4-FFF2-40B4-BE49-F238E27FC236}">
              <a16:creationId xmlns:a16="http://schemas.microsoft.com/office/drawing/2014/main" id="{FD7A0684-4025-460B-9B30-A26E6D7F6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847886</xdr:colOff>
      <xdr:row>79</xdr:row>
      <xdr:rowOff>51954</xdr:rowOff>
    </xdr:from>
    <xdr:to>
      <xdr:col>42</xdr:col>
      <xdr:colOff>527499</xdr:colOff>
      <xdr:row>100</xdr:row>
      <xdr:rowOff>155862</xdr:rowOff>
    </xdr:to>
    <xdr:graphicFrame macro="">
      <xdr:nvGraphicFramePr>
        <xdr:cNvPr id="5" name="Chart 4">
          <a:extLst>
            <a:ext uri="{FF2B5EF4-FFF2-40B4-BE49-F238E27FC236}">
              <a16:creationId xmlns:a16="http://schemas.microsoft.com/office/drawing/2014/main" id="{53E71DAA-E620-41DB-B9C4-E41425B9B7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legis.la.gov/Legis/Law.aspx?d=102399" TargetMode="External"/><Relationship Id="rId2" Type="http://schemas.openxmlformats.org/officeDocument/2006/relationships/hyperlink" Target="https://legis.la.gov/Legis/Law.aspx?d=102399" TargetMode="External"/><Relationship Id="rId1" Type="http://schemas.openxmlformats.org/officeDocument/2006/relationships/hyperlink" Target="https://legis.la.gov/Legis/Law.aspx?d=102399" TargetMode="External"/><Relationship Id="rId6" Type="http://schemas.openxmlformats.org/officeDocument/2006/relationships/printerSettings" Target="../printerSettings/printerSettings2.bin"/><Relationship Id="rId5" Type="http://schemas.openxmlformats.org/officeDocument/2006/relationships/hyperlink" Target="https://legis.la.gov/Legis/Law.aspx?d=102399" TargetMode="External"/><Relationship Id="rId4" Type="http://schemas.openxmlformats.org/officeDocument/2006/relationships/hyperlink" Target="https://legis.la.gov/Legis/Law.aspx?d=102399"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AB2E-8A09-4454-A21D-193284B1583C}">
  <sheetPr>
    <pageSetUpPr fitToPage="1"/>
  </sheetPr>
  <dimension ref="B1:M280"/>
  <sheetViews>
    <sheetView showGridLines="0" zoomScale="120" zoomScaleNormal="120" zoomScaleSheetLayoutView="80" workbookViewId="0">
      <selection activeCell="B6" sqref="B6:G6"/>
    </sheetView>
  </sheetViews>
  <sheetFormatPr defaultRowHeight="14.4"/>
  <cols>
    <col min="1" max="1" width="2.44140625" customWidth="1"/>
    <col min="2" max="2" width="8" customWidth="1"/>
    <col min="3" max="3" width="6.33203125" customWidth="1"/>
    <col min="4" max="4" width="11.33203125" customWidth="1"/>
    <col min="5" max="5" width="10.6640625" customWidth="1"/>
    <col min="6" max="6" width="12.6640625" customWidth="1"/>
    <col min="7" max="7" width="9.44140625" customWidth="1"/>
    <col min="8" max="8" width="14.6640625" customWidth="1"/>
    <col min="9" max="9" width="12.33203125" customWidth="1"/>
    <col min="10" max="10" width="13.6640625" customWidth="1"/>
    <col min="11" max="11" width="10.44140625" customWidth="1"/>
  </cols>
  <sheetData>
    <row r="1" spans="2:11" ht="25.05" customHeight="1">
      <c r="B1" s="507" t="s">
        <v>207</v>
      </c>
      <c r="C1" s="508"/>
      <c r="D1" s="508"/>
      <c r="E1" s="508"/>
      <c r="F1" s="508"/>
      <c r="G1" s="508"/>
      <c r="H1" s="508"/>
      <c r="I1" s="508"/>
      <c r="J1" s="508"/>
      <c r="K1" s="107"/>
    </row>
    <row r="2" spans="2:11" ht="25.05" customHeight="1">
      <c r="B2" s="507" t="s">
        <v>206</v>
      </c>
      <c r="C2" s="508"/>
      <c r="D2" s="508"/>
      <c r="E2" s="508"/>
      <c r="F2" s="508"/>
      <c r="G2" s="508"/>
      <c r="H2" s="508"/>
      <c r="I2" s="508"/>
      <c r="J2" s="508"/>
      <c r="K2" s="107"/>
    </row>
    <row r="3" spans="2:11" ht="25.05" customHeight="1">
      <c r="B3" s="507" t="s">
        <v>223</v>
      </c>
      <c r="C3" s="507"/>
      <c r="D3" s="507"/>
      <c r="E3" s="507"/>
      <c r="F3" s="507"/>
      <c r="G3" s="507"/>
      <c r="H3" s="507"/>
      <c r="I3" s="507"/>
      <c r="J3" s="507"/>
      <c r="K3" s="107"/>
    </row>
    <row r="4" spans="2:11" ht="25.05" customHeight="1">
      <c r="B4" s="509" t="s">
        <v>222</v>
      </c>
      <c r="C4" s="510"/>
      <c r="D4" s="510"/>
      <c r="E4" s="510"/>
      <c r="F4" s="510"/>
      <c r="G4" s="510"/>
      <c r="H4" s="510"/>
      <c r="I4" s="510"/>
      <c r="J4" s="510"/>
      <c r="K4" s="107"/>
    </row>
    <row r="5" spans="2:11" ht="14.25" customHeight="1">
      <c r="B5" s="502" t="s">
        <v>202</v>
      </c>
      <c r="C5" s="503"/>
      <c r="D5" s="503"/>
      <c r="E5" s="503"/>
      <c r="F5" s="503"/>
      <c r="G5" s="511"/>
      <c r="H5" s="138" t="s">
        <v>203</v>
      </c>
      <c r="I5" s="491"/>
      <c r="J5" s="492"/>
      <c r="K5" s="108"/>
    </row>
    <row r="6" spans="2:11" ht="14.25" customHeight="1">
      <c r="B6" s="499"/>
      <c r="C6" s="512"/>
      <c r="D6" s="512"/>
      <c r="E6" s="512"/>
      <c r="F6" s="512"/>
      <c r="G6" s="513"/>
      <c r="H6" s="514" t="s">
        <v>204</v>
      </c>
      <c r="I6" s="514"/>
      <c r="J6" s="514"/>
      <c r="K6" s="109"/>
    </row>
    <row r="7" spans="2:11">
      <c r="B7" s="499"/>
      <c r="C7" s="512"/>
      <c r="D7" s="512"/>
      <c r="E7" s="512"/>
      <c r="F7" s="512"/>
      <c r="G7" s="513"/>
      <c r="H7" s="514"/>
      <c r="I7" s="514"/>
      <c r="J7" s="514"/>
      <c r="K7" s="109"/>
    </row>
    <row r="8" spans="2:11" ht="14.25" customHeight="1">
      <c r="B8" s="499"/>
      <c r="C8" s="512"/>
      <c r="D8" s="512"/>
      <c r="E8" s="512"/>
      <c r="F8" s="512"/>
      <c r="G8" s="513"/>
      <c r="H8" s="514"/>
      <c r="I8" s="514"/>
      <c r="J8" s="514"/>
      <c r="K8" s="109"/>
    </row>
    <row r="9" spans="2:11" ht="14.25" customHeight="1">
      <c r="B9" s="489" t="s">
        <v>177</v>
      </c>
      <c r="C9" s="490"/>
      <c r="D9" s="493"/>
      <c r="E9" s="494"/>
      <c r="F9" s="136" t="s">
        <v>149</v>
      </c>
      <c r="G9" s="137"/>
      <c r="H9" s="514"/>
      <c r="I9" s="514"/>
      <c r="J9" s="514"/>
      <c r="K9" s="109"/>
    </row>
    <row r="10" spans="2:11" ht="18" customHeight="1">
      <c r="B10" s="516" t="s">
        <v>205</v>
      </c>
      <c r="C10" s="517"/>
      <c r="D10" s="517"/>
      <c r="E10" s="490"/>
      <c r="F10" s="490"/>
      <c r="G10" s="518"/>
      <c r="H10" s="514"/>
      <c r="I10" s="514"/>
      <c r="J10" s="514"/>
      <c r="K10" s="109"/>
    </row>
    <row r="11" spans="2:11" ht="26.2" customHeight="1">
      <c r="B11" s="495" t="s">
        <v>178</v>
      </c>
      <c r="C11" s="496"/>
      <c r="D11" s="496"/>
      <c r="E11" s="496"/>
      <c r="F11" s="497" t="s">
        <v>148</v>
      </c>
      <c r="G11" s="498"/>
      <c r="H11" s="514"/>
      <c r="I11" s="514"/>
      <c r="J11" s="514"/>
      <c r="K11" s="107"/>
    </row>
    <row r="12" spans="2:11" ht="29.45" customHeight="1">
      <c r="B12" s="499" t="s">
        <v>208</v>
      </c>
      <c r="C12" s="500"/>
      <c r="D12" s="500"/>
      <c r="E12" s="501"/>
      <c r="F12" s="502" t="s">
        <v>209</v>
      </c>
      <c r="G12" s="503"/>
      <c r="H12" s="515"/>
      <c r="I12" s="515"/>
      <c r="J12" s="515"/>
      <c r="K12" s="109"/>
    </row>
    <row r="13" spans="2:11" ht="5.25" customHeight="1">
      <c r="B13" s="504"/>
      <c r="C13" s="505"/>
      <c r="D13" s="505"/>
      <c r="E13" s="505"/>
      <c r="F13" s="505"/>
      <c r="G13" s="505"/>
      <c r="H13" s="505"/>
      <c r="I13" s="505"/>
      <c r="J13" s="506"/>
      <c r="K13" s="109"/>
    </row>
    <row r="14" spans="2:11" ht="15.05" customHeight="1">
      <c r="B14" s="133" t="s">
        <v>200</v>
      </c>
      <c r="C14" s="134"/>
      <c r="D14" s="135"/>
      <c r="E14" s="487" t="s">
        <v>148</v>
      </c>
      <c r="F14" s="488"/>
      <c r="G14" s="489" t="s">
        <v>179</v>
      </c>
      <c r="H14" s="490"/>
      <c r="I14" s="491"/>
      <c r="J14" s="492"/>
      <c r="K14" s="109"/>
    </row>
    <row r="15" spans="2:11" ht="15.05" customHeight="1">
      <c r="B15" s="133" t="s">
        <v>201</v>
      </c>
      <c r="C15" s="134"/>
      <c r="D15" s="135"/>
      <c r="E15" s="487" t="s">
        <v>148</v>
      </c>
      <c r="F15" s="488"/>
      <c r="G15" s="489"/>
      <c r="H15" s="490"/>
      <c r="I15" s="491"/>
      <c r="J15" s="492"/>
      <c r="K15" s="109"/>
    </row>
    <row r="16" spans="2:11" ht="3.8" customHeight="1">
      <c r="B16" s="110"/>
      <c r="C16" s="110"/>
      <c r="D16" s="110"/>
      <c r="E16" s="110"/>
      <c r="F16" s="110"/>
      <c r="G16" s="110"/>
      <c r="H16" s="110"/>
      <c r="I16" s="110"/>
      <c r="J16" s="110"/>
      <c r="K16" s="109"/>
    </row>
    <row r="17" spans="2:13" ht="17.2" customHeight="1">
      <c r="B17" s="483" t="s">
        <v>150</v>
      </c>
      <c r="C17" s="484"/>
      <c r="D17" s="484"/>
      <c r="E17" s="484"/>
      <c r="F17" s="484"/>
      <c r="G17" s="484"/>
      <c r="H17" s="484"/>
      <c r="I17" s="484"/>
      <c r="J17" s="485"/>
      <c r="K17" s="113"/>
    </row>
    <row r="18" spans="2:13" ht="36" customHeight="1" thickBot="1">
      <c r="B18" s="486" t="s">
        <v>151</v>
      </c>
      <c r="C18" s="486"/>
      <c r="D18" s="486"/>
      <c r="E18" s="210" t="s">
        <v>152</v>
      </c>
      <c r="F18" s="486" t="s">
        <v>181</v>
      </c>
      <c r="G18" s="486"/>
      <c r="H18" s="211" t="s">
        <v>153</v>
      </c>
      <c r="I18" s="486" t="s">
        <v>154</v>
      </c>
      <c r="J18" s="486"/>
      <c r="K18" s="113"/>
    </row>
    <row r="19" spans="2:13" ht="17.2" customHeight="1" thickTop="1">
      <c r="B19" s="482"/>
      <c r="C19" s="482"/>
      <c r="D19" s="482"/>
      <c r="E19" s="127"/>
      <c r="F19" s="482"/>
      <c r="G19" s="482"/>
      <c r="H19" s="127"/>
      <c r="I19" s="482"/>
      <c r="J19" s="482"/>
      <c r="K19" s="113"/>
    </row>
    <row r="20" spans="2:13" ht="17.2" customHeight="1">
      <c r="B20" s="481"/>
      <c r="C20" s="481"/>
      <c r="D20" s="481"/>
      <c r="E20" s="114"/>
      <c r="F20" s="481"/>
      <c r="G20" s="481"/>
      <c r="H20" s="114"/>
      <c r="I20" s="481"/>
      <c r="J20" s="481"/>
      <c r="K20" s="113"/>
    </row>
    <row r="21" spans="2:13" ht="17.2" customHeight="1">
      <c r="B21" s="481"/>
      <c r="C21" s="481"/>
      <c r="D21" s="481"/>
      <c r="E21" s="114"/>
      <c r="F21" s="481"/>
      <c r="G21" s="481"/>
      <c r="H21" s="114"/>
      <c r="I21" s="481"/>
      <c r="J21" s="481"/>
      <c r="K21" s="113"/>
    </row>
    <row r="22" spans="2:13" ht="17.2" customHeight="1">
      <c r="B22" s="481"/>
      <c r="C22" s="481"/>
      <c r="D22" s="481"/>
      <c r="E22" s="114"/>
      <c r="F22" s="481"/>
      <c r="G22" s="481"/>
      <c r="H22" s="114"/>
      <c r="I22" s="481"/>
      <c r="J22" s="481"/>
      <c r="K22" s="113"/>
      <c r="M22" s="36"/>
    </row>
    <row r="23" spans="2:13" ht="17.2" customHeight="1">
      <c r="B23" s="481"/>
      <c r="C23" s="481"/>
      <c r="D23" s="481"/>
      <c r="E23" s="114"/>
      <c r="F23" s="481"/>
      <c r="G23" s="481"/>
      <c r="H23" s="114"/>
      <c r="I23" s="481"/>
      <c r="J23" s="481"/>
      <c r="K23" s="113"/>
    </row>
    <row r="24" spans="2:13" ht="17.2" customHeight="1">
      <c r="B24" s="481"/>
      <c r="C24" s="481"/>
      <c r="D24" s="481"/>
      <c r="E24" s="114"/>
      <c r="F24" s="481"/>
      <c r="G24" s="481"/>
      <c r="H24" s="114"/>
      <c r="I24" s="481"/>
      <c r="J24" s="481"/>
      <c r="K24" s="113"/>
    </row>
    <row r="25" spans="2:13" ht="17.2" customHeight="1">
      <c r="B25" s="481"/>
      <c r="C25" s="481"/>
      <c r="D25" s="481"/>
      <c r="E25" s="114"/>
      <c r="F25" s="481"/>
      <c r="G25" s="481"/>
      <c r="H25" s="114"/>
      <c r="I25" s="481"/>
      <c r="J25" s="481"/>
      <c r="K25" s="113"/>
    </row>
    <row r="26" spans="2:13" ht="17.2" customHeight="1">
      <c r="B26" s="481"/>
      <c r="C26" s="481"/>
      <c r="D26" s="481"/>
      <c r="E26" s="114"/>
      <c r="F26" s="481"/>
      <c r="G26" s="481"/>
      <c r="H26" s="114"/>
      <c r="I26" s="481"/>
      <c r="J26" s="481"/>
      <c r="K26" s="113"/>
    </row>
    <row r="27" spans="2:13" ht="17.2" customHeight="1">
      <c r="B27" s="481"/>
      <c r="C27" s="481"/>
      <c r="D27" s="481"/>
      <c r="E27" s="114"/>
      <c r="F27" s="481"/>
      <c r="G27" s="481"/>
      <c r="H27" s="114"/>
      <c r="I27" s="481"/>
      <c r="J27" s="481"/>
      <c r="K27" s="113"/>
    </row>
    <row r="28" spans="2:13" ht="17.2" customHeight="1">
      <c r="B28" s="481"/>
      <c r="C28" s="481"/>
      <c r="D28" s="481"/>
      <c r="E28" s="114"/>
      <c r="F28" s="481"/>
      <c r="G28" s="481"/>
      <c r="H28" s="114"/>
      <c r="I28" s="481"/>
      <c r="J28" s="481"/>
      <c r="K28" s="113"/>
    </row>
    <row r="29" spans="2:13" ht="17.2" customHeight="1">
      <c r="B29" s="481"/>
      <c r="C29" s="481"/>
      <c r="D29" s="481"/>
      <c r="E29" s="114"/>
      <c r="F29" s="481"/>
      <c r="G29" s="481"/>
      <c r="H29" s="114"/>
      <c r="I29" s="481"/>
      <c r="J29" s="481"/>
      <c r="K29" s="113"/>
    </row>
    <row r="30" spans="2:13" ht="17.2" customHeight="1">
      <c r="B30" s="481"/>
      <c r="C30" s="481"/>
      <c r="D30" s="481"/>
      <c r="E30" s="114"/>
      <c r="F30" s="481"/>
      <c r="G30" s="481"/>
      <c r="H30" s="114"/>
      <c r="I30" s="481"/>
      <c r="J30" s="481"/>
      <c r="K30" s="113"/>
    </row>
    <row r="31" spans="2:13" ht="17.2" customHeight="1">
      <c r="B31" s="481"/>
      <c r="C31" s="481"/>
      <c r="D31" s="481"/>
      <c r="E31" s="114"/>
      <c r="F31" s="481"/>
      <c r="G31" s="481"/>
      <c r="H31" s="114"/>
      <c r="I31" s="481"/>
      <c r="J31" s="481"/>
      <c r="K31" s="113"/>
    </row>
    <row r="32" spans="2:13" ht="17.2" customHeight="1">
      <c r="B32" s="481"/>
      <c r="C32" s="481"/>
      <c r="D32" s="481"/>
      <c r="E32" s="114"/>
      <c r="F32" s="481"/>
      <c r="G32" s="481"/>
      <c r="H32" s="114"/>
      <c r="I32" s="481"/>
      <c r="J32" s="481"/>
      <c r="K32" s="113"/>
    </row>
    <row r="33" spans="2:11" ht="17.2" customHeight="1">
      <c r="B33" s="481"/>
      <c r="C33" s="481"/>
      <c r="D33" s="481"/>
      <c r="E33" s="114"/>
      <c r="F33" s="481"/>
      <c r="G33" s="481"/>
      <c r="H33" s="114"/>
      <c r="I33" s="481"/>
      <c r="J33" s="481"/>
      <c r="K33" s="113"/>
    </row>
    <row r="34" spans="2:11" ht="17.2" customHeight="1">
      <c r="B34" s="481"/>
      <c r="C34" s="481"/>
      <c r="D34" s="481"/>
      <c r="E34" s="114"/>
      <c r="F34" s="481"/>
      <c r="G34" s="481"/>
      <c r="H34" s="114"/>
      <c r="I34" s="481"/>
      <c r="J34" s="481"/>
      <c r="K34" s="113"/>
    </row>
    <row r="35" spans="2:11" ht="17.2" customHeight="1">
      <c r="B35" s="481"/>
      <c r="C35" s="481"/>
      <c r="D35" s="481"/>
      <c r="E35" s="114"/>
      <c r="F35" s="481"/>
      <c r="G35" s="481"/>
      <c r="H35" s="114"/>
      <c r="I35" s="481"/>
      <c r="J35" s="481"/>
      <c r="K35" s="113"/>
    </row>
    <row r="36" spans="2:11" ht="17.2" customHeight="1">
      <c r="B36" s="481"/>
      <c r="C36" s="481"/>
      <c r="D36" s="481"/>
      <c r="E36" s="114"/>
      <c r="F36" s="481"/>
      <c r="G36" s="481"/>
      <c r="H36" s="114"/>
      <c r="I36" s="481"/>
      <c r="J36" s="481"/>
      <c r="K36" s="113"/>
    </row>
    <row r="37" spans="2:11" ht="17.2" customHeight="1">
      <c r="B37" s="481"/>
      <c r="C37" s="481"/>
      <c r="D37" s="481"/>
      <c r="E37" s="114"/>
      <c r="F37" s="481"/>
      <c r="G37" s="481"/>
      <c r="H37" s="114"/>
      <c r="I37" s="481"/>
      <c r="J37" s="481"/>
      <c r="K37" s="113"/>
    </row>
    <row r="38" spans="2:11" ht="17.2" customHeight="1">
      <c r="B38" s="481"/>
      <c r="C38" s="481"/>
      <c r="D38" s="481"/>
      <c r="E38" s="114"/>
      <c r="F38" s="481"/>
      <c r="G38" s="481"/>
      <c r="H38" s="114"/>
      <c r="I38" s="481"/>
      <c r="J38" s="481"/>
      <c r="K38" s="113"/>
    </row>
    <row r="39" spans="2:11" ht="17.2" customHeight="1">
      <c r="B39" s="481"/>
      <c r="C39" s="481"/>
      <c r="D39" s="481"/>
      <c r="E39" s="114"/>
      <c r="F39" s="481"/>
      <c r="G39" s="481"/>
      <c r="H39" s="114"/>
      <c r="I39" s="481"/>
      <c r="J39" s="481"/>
      <c r="K39" s="113"/>
    </row>
    <row r="40" spans="2:11" ht="17.2" customHeight="1">
      <c r="B40" s="481"/>
      <c r="C40" s="481"/>
      <c r="D40" s="481"/>
      <c r="E40" s="114"/>
      <c r="F40" s="481"/>
      <c r="G40" s="481"/>
      <c r="H40" s="114"/>
      <c r="I40" s="481"/>
      <c r="J40" s="481"/>
      <c r="K40" s="113"/>
    </row>
    <row r="41" spans="2:11" ht="17.2" customHeight="1">
      <c r="B41" s="481"/>
      <c r="C41" s="481"/>
      <c r="D41" s="481"/>
      <c r="E41" s="114"/>
      <c r="F41" s="481"/>
      <c r="G41" s="481"/>
      <c r="H41" s="114"/>
      <c r="I41" s="481"/>
      <c r="J41" s="481"/>
      <c r="K41" s="113"/>
    </row>
    <row r="42" spans="2:11" ht="17.2" customHeight="1">
      <c r="B42" s="481"/>
      <c r="C42" s="481"/>
      <c r="D42" s="481"/>
      <c r="E42" s="114"/>
      <c r="F42" s="481"/>
      <c r="G42" s="481"/>
      <c r="H42" s="114"/>
      <c r="I42" s="481"/>
      <c r="J42" s="481"/>
      <c r="K42" s="113"/>
    </row>
    <row r="43" spans="2:11" ht="19.649999999999999" customHeight="1">
      <c r="B43" s="480" t="s">
        <v>216</v>
      </c>
      <c r="C43" s="480"/>
      <c r="D43" s="480"/>
      <c r="E43" s="480"/>
      <c r="F43" s="480"/>
      <c r="G43" s="480"/>
      <c r="H43" s="480"/>
      <c r="I43" s="480"/>
      <c r="J43" s="480"/>
      <c r="K43" s="115" t="s">
        <v>148</v>
      </c>
    </row>
    <row r="44" spans="2:11" ht="52.4" customHeight="1"/>
    <row r="45" spans="2:11" ht="20" customHeight="1">
      <c r="B45" s="469" t="s">
        <v>155</v>
      </c>
      <c r="C45" s="469"/>
      <c r="D45" s="469"/>
      <c r="E45" s="469"/>
      <c r="F45" s="469"/>
      <c r="G45" s="469"/>
      <c r="H45" s="469"/>
      <c r="I45" s="469"/>
      <c r="J45" s="469"/>
      <c r="K45" s="116"/>
    </row>
    <row r="46" spans="2:11" ht="33.75" customHeight="1" thickBot="1">
      <c r="B46" s="472" t="s">
        <v>156</v>
      </c>
      <c r="C46" s="472"/>
      <c r="D46" s="212" t="s">
        <v>157</v>
      </c>
      <c r="E46" s="472" t="s">
        <v>158</v>
      </c>
      <c r="F46" s="472"/>
      <c r="G46" s="472"/>
      <c r="H46" s="212" t="s">
        <v>159</v>
      </c>
      <c r="I46" s="213" t="s">
        <v>160</v>
      </c>
      <c r="J46" s="213" t="s">
        <v>161</v>
      </c>
      <c r="K46" s="108"/>
    </row>
    <row r="47" spans="2:11" ht="15.05" thickTop="1">
      <c r="B47" s="479" t="s">
        <v>148</v>
      </c>
      <c r="C47" s="479"/>
      <c r="D47" s="128" t="s">
        <v>148</v>
      </c>
      <c r="E47" s="479" t="s">
        <v>148</v>
      </c>
      <c r="F47" s="479"/>
      <c r="G47" s="479"/>
      <c r="H47" s="129" t="s">
        <v>148</v>
      </c>
      <c r="I47" s="130" t="s">
        <v>148</v>
      </c>
      <c r="J47" s="144"/>
      <c r="K47" s="112"/>
    </row>
    <row r="48" spans="2:11">
      <c r="B48" s="476" t="s">
        <v>148</v>
      </c>
      <c r="C48" s="476"/>
      <c r="D48" s="117" t="s">
        <v>148</v>
      </c>
      <c r="E48" s="476" t="s">
        <v>148</v>
      </c>
      <c r="F48" s="476"/>
      <c r="G48" s="476"/>
      <c r="H48" s="118" t="s">
        <v>148</v>
      </c>
      <c r="I48" s="119" t="s">
        <v>148</v>
      </c>
      <c r="J48" s="145" t="s">
        <v>148</v>
      </c>
      <c r="K48" s="112"/>
    </row>
    <row r="49" spans="2:11">
      <c r="B49" s="476" t="s">
        <v>148</v>
      </c>
      <c r="C49" s="476"/>
      <c r="D49" s="117" t="s">
        <v>148</v>
      </c>
      <c r="E49" s="476" t="s">
        <v>148</v>
      </c>
      <c r="F49" s="476"/>
      <c r="G49" s="476"/>
      <c r="H49" s="118" t="s">
        <v>148</v>
      </c>
      <c r="I49" s="119" t="s">
        <v>148</v>
      </c>
      <c r="J49" s="145" t="s">
        <v>148</v>
      </c>
      <c r="K49" s="112"/>
    </row>
    <row r="50" spans="2:11">
      <c r="B50" s="477"/>
      <c r="C50" s="478"/>
      <c r="D50" s="120"/>
      <c r="E50" s="460"/>
      <c r="F50" s="460"/>
      <c r="G50" s="460"/>
      <c r="H50" s="121"/>
      <c r="I50" s="121"/>
      <c r="J50" s="146" t="s">
        <v>148</v>
      </c>
      <c r="K50" s="112"/>
    </row>
    <row r="51" spans="2:11">
      <c r="B51" s="460"/>
      <c r="C51" s="460"/>
      <c r="D51" s="120"/>
      <c r="E51" s="460"/>
      <c r="F51" s="460"/>
      <c r="G51" s="460"/>
      <c r="H51" s="121"/>
      <c r="I51" s="121"/>
      <c r="J51" s="146" t="s">
        <v>148</v>
      </c>
      <c r="K51" s="112"/>
    </row>
    <row r="52" spans="2:11" ht="15.05" customHeight="1">
      <c r="B52" s="460"/>
      <c r="C52" s="460"/>
      <c r="D52" s="120"/>
      <c r="E52" s="460"/>
      <c r="F52" s="460"/>
      <c r="G52" s="460"/>
      <c r="H52" s="121"/>
      <c r="I52" s="121"/>
      <c r="J52" s="146" t="s">
        <v>148</v>
      </c>
      <c r="K52" s="112"/>
    </row>
    <row r="53" spans="2:11" ht="15.05" customHeight="1">
      <c r="B53" s="460"/>
      <c r="C53" s="460"/>
      <c r="D53" s="120"/>
      <c r="E53" s="460"/>
      <c r="F53" s="460"/>
      <c r="G53" s="460"/>
      <c r="H53" s="121"/>
      <c r="I53" s="121"/>
      <c r="J53" s="146" t="s">
        <v>148</v>
      </c>
      <c r="K53" s="112"/>
    </row>
    <row r="54" spans="2:11">
      <c r="B54" s="460"/>
      <c r="C54" s="460"/>
      <c r="D54" s="122"/>
      <c r="E54" s="460"/>
      <c r="F54" s="460"/>
      <c r="G54" s="460"/>
      <c r="H54" s="121"/>
      <c r="I54" s="121"/>
      <c r="J54" s="146" t="s">
        <v>148</v>
      </c>
      <c r="K54" s="112"/>
    </row>
    <row r="55" spans="2:11" ht="16.05" customHeight="1">
      <c r="B55" s="461" t="s">
        <v>214</v>
      </c>
      <c r="C55" s="461"/>
      <c r="D55" s="461"/>
      <c r="E55" s="461"/>
      <c r="F55" s="461"/>
      <c r="G55" s="461"/>
      <c r="H55" s="461"/>
      <c r="I55" s="461"/>
      <c r="J55" s="124"/>
      <c r="K55" s="123"/>
    </row>
    <row r="56" spans="2:11" ht="15.05" customHeight="1">
      <c r="B56" s="461" t="s">
        <v>215</v>
      </c>
      <c r="C56" s="461"/>
      <c r="D56" s="461"/>
      <c r="E56" s="461"/>
      <c r="F56" s="461"/>
      <c r="G56" s="461"/>
      <c r="H56" s="461"/>
      <c r="I56" s="461"/>
      <c r="J56" s="124"/>
      <c r="K56" s="123"/>
    </row>
    <row r="57" spans="2:11" ht="15.05" customHeight="1">
      <c r="B57" s="141"/>
      <c r="C57" s="141"/>
      <c r="D57" s="141"/>
      <c r="E57" s="141"/>
      <c r="F57" s="141"/>
      <c r="G57" s="141"/>
      <c r="H57" s="141"/>
      <c r="I57" s="141"/>
      <c r="J57" s="142"/>
      <c r="K57" s="123"/>
    </row>
    <row r="58" spans="2:11" ht="20" customHeight="1">
      <c r="B58" s="469" t="s">
        <v>162</v>
      </c>
      <c r="C58" s="469"/>
      <c r="D58" s="469"/>
      <c r="E58" s="469"/>
      <c r="F58" s="469"/>
      <c r="G58" s="469"/>
      <c r="H58" s="469"/>
      <c r="I58" s="469"/>
      <c r="J58" s="469"/>
    </row>
    <row r="59" spans="2:11" ht="32.25" customHeight="1" thickBot="1">
      <c r="B59" s="470" t="s">
        <v>163</v>
      </c>
      <c r="C59" s="471"/>
      <c r="D59" s="471"/>
      <c r="E59" s="472" t="s">
        <v>158</v>
      </c>
      <c r="F59" s="472"/>
      <c r="G59" s="212" t="s">
        <v>164</v>
      </c>
      <c r="H59" s="213" t="s">
        <v>180</v>
      </c>
      <c r="I59" s="213" t="s">
        <v>165</v>
      </c>
      <c r="J59" s="131" t="s">
        <v>161</v>
      </c>
      <c r="K59" s="132"/>
    </row>
    <row r="60" spans="2:11" ht="15.05" thickTop="1">
      <c r="B60" s="473"/>
      <c r="C60" s="474"/>
      <c r="D60" s="474"/>
      <c r="E60" s="475"/>
      <c r="F60" s="475"/>
      <c r="G60" s="147"/>
      <c r="H60" s="148"/>
      <c r="I60" s="148"/>
      <c r="J60" s="149"/>
      <c r="K60" s="132"/>
    </row>
    <row r="61" spans="2:11">
      <c r="B61" s="464"/>
      <c r="C61" s="465"/>
      <c r="D61" s="465"/>
      <c r="E61" s="460"/>
      <c r="F61" s="460"/>
      <c r="G61" s="120"/>
      <c r="H61" s="121"/>
      <c r="I61" s="121"/>
      <c r="J61" s="143"/>
      <c r="K61" s="132"/>
    </row>
    <row r="62" spans="2:11">
      <c r="B62" s="464"/>
      <c r="C62" s="465"/>
      <c r="D62" s="465"/>
      <c r="E62" s="460"/>
      <c r="F62" s="460"/>
      <c r="G62" s="120"/>
      <c r="H62" s="121"/>
      <c r="I62" s="121"/>
      <c r="J62" s="143"/>
      <c r="K62" s="132"/>
    </row>
    <row r="63" spans="2:11">
      <c r="B63" s="466"/>
      <c r="C63" s="467"/>
      <c r="D63" s="467"/>
      <c r="E63" s="468"/>
      <c r="F63" s="468"/>
      <c r="G63" s="150"/>
      <c r="H63" s="151"/>
      <c r="I63" s="151"/>
      <c r="J63" s="152"/>
      <c r="K63" s="132"/>
    </row>
    <row r="64" spans="2:11">
      <c r="B64" s="460"/>
      <c r="C64" s="460"/>
      <c r="D64" s="460"/>
      <c r="E64" s="460"/>
      <c r="F64" s="460"/>
      <c r="G64" s="121"/>
      <c r="H64" s="121"/>
      <c r="I64" s="121"/>
      <c r="J64" s="143"/>
      <c r="K64" s="132"/>
    </row>
    <row r="65" spans="2:10" ht="16.05" customHeight="1">
      <c r="B65" s="461" t="s">
        <v>214</v>
      </c>
      <c r="C65" s="461"/>
      <c r="D65" s="461"/>
      <c r="E65" s="461"/>
      <c r="F65" s="461"/>
      <c r="G65" s="461"/>
      <c r="H65" s="461"/>
      <c r="I65" s="461"/>
      <c r="J65" s="124"/>
    </row>
    <row r="66" spans="2:10">
      <c r="B66" s="461" t="s">
        <v>215</v>
      </c>
      <c r="C66" s="461"/>
      <c r="D66" s="461"/>
      <c r="E66" s="461"/>
      <c r="F66" s="461"/>
      <c r="G66" s="461"/>
      <c r="H66" s="461"/>
      <c r="I66" s="461"/>
      <c r="J66" s="124"/>
    </row>
    <row r="70" spans="2:10" ht="45.85" customHeight="1">
      <c r="B70" s="462" t="s">
        <v>212</v>
      </c>
      <c r="C70" s="463"/>
      <c r="D70" s="463"/>
      <c r="E70" s="463"/>
      <c r="F70" s="463"/>
      <c r="G70" s="462" t="s">
        <v>211</v>
      </c>
      <c r="H70" s="463"/>
      <c r="I70" s="463"/>
      <c r="J70" s="463"/>
    </row>
    <row r="71" spans="2:10" ht="16.55" customHeight="1">
      <c r="B71" s="453" t="s">
        <v>210</v>
      </c>
      <c r="C71" s="454"/>
      <c r="D71" s="454"/>
      <c r="E71" s="454"/>
      <c r="F71" s="454"/>
      <c r="G71" s="454"/>
      <c r="H71" s="454"/>
      <c r="I71" s="454"/>
      <c r="J71" s="455"/>
    </row>
    <row r="72" spans="2:10" ht="58.95" customHeight="1">
      <c r="B72" s="456" t="s">
        <v>213</v>
      </c>
      <c r="C72" s="457"/>
      <c r="D72" s="457"/>
      <c r="E72" s="457"/>
      <c r="F72" s="457"/>
      <c r="G72" s="457"/>
      <c r="H72" s="457"/>
      <c r="I72" s="457"/>
      <c r="J72" s="457"/>
    </row>
    <row r="73" spans="2:10" ht="39.950000000000003" customHeight="1">
      <c r="B73" s="458"/>
      <c r="C73" s="459"/>
      <c r="D73" s="459"/>
      <c r="E73" s="459"/>
      <c r="F73" s="139"/>
      <c r="G73" s="458"/>
      <c r="H73" s="459"/>
      <c r="I73" s="459"/>
      <c r="J73" s="139"/>
    </row>
    <row r="74" spans="2:10" ht="15.05" customHeight="1">
      <c r="B74" s="448" t="s">
        <v>182</v>
      </c>
      <c r="C74" s="449"/>
      <c r="D74" s="449"/>
      <c r="E74" s="449"/>
      <c r="F74" s="140" t="s">
        <v>184</v>
      </c>
      <c r="G74" s="448" t="s">
        <v>185</v>
      </c>
      <c r="H74" s="449"/>
      <c r="I74" s="449"/>
      <c r="J74" s="140" t="s">
        <v>184</v>
      </c>
    </row>
    <row r="75" spans="2:10" ht="39.950000000000003" customHeight="1">
      <c r="B75" s="445"/>
      <c r="C75" s="446"/>
      <c r="D75" s="446"/>
      <c r="E75" s="446"/>
      <c r="F75" s="447"/>
      <c r="G75" s="445"/>
      <c r="H75" s="446"/>
      <c r="I75" s="446"/>
      <c r="J75" s="447"/>
    </row>
    <row r="76" spans="2:10" ht="14.25" customHeight="1">
      <c r="B76" s="448" t="s">
        <v>183</v>
      </c>
      <c r="C76" s="449"/>
      <c r="D76" s="449"/>
      <c r="E76" s="449"/>
      <c r="F76" s="450"/>
      <c r="G76" s="448" t="s">
        <v>186</v>
      </c>
      <c r="H76" s="449"/>
      <c r="I76" s="449"/>
      <c r="J76" s="450"/>
    </row>
    <row r="79" spans="2:10" ht="38.299999999999997" customHeight="1">
      <c r="B79" s="451" t="s">
        <v>166</v>
      </c>
      <c r="C79" s="451"/>
      <c r="D79" s="451"/>
      <c r="E79" s="451"/>
      <c r="F79" s="451"/>
      <c r="G79" s="451"/>
      <c r="H79" s="451"/>
      <c r="I79" s="451"/>
      <c r="J79" s="451"/>
    </row>
    <row r="80" spans="2:10" ht="15.75">
      <c r="B80" s="452" t="s">
        <v>167</v>
      </c>
      <c r="C80" s="452"/>
      <c r="D80" s="452"/>
      <c r="E80" s="452"/>
      <c r="F80" s="452"/>
      <c r="G80" s="452"/>
      <c r="H80" s="452"/>
      <c r="I80" s="452"/>
      <c r="J80" s="452"/>
    </row>
    <row r="81" spans="2:10" ht="15.05">
      <c r="B81" s="111"/>
      <c r="C81" s="111"/>
      <c r="D81" s="111"/>
      <c r="E81" s="111"/>
      <c r="F81" s="111"/>
      <c r="G81" s="111"/>
      <c r="H81" s="111"/>
      <c r="I81" s="111"/>
      <c r="J81" s="111"/>
    </row>
    <row r="82" spans="2:10" ht="15.05" customHeight="1">
      <c r="B82" s="436" t="s">
        <v>168</v>
      </c>
      <c r="C82" s="437"/>
      <c r="D82" s="437"/>
      <c r="E82" s="440" t="s">
        <v>169</v>
      </c>
      <c r="F82" s="440"/>
      <c r="G82" s="125"/>
      <c r="H82" s="440" t="s">
        <v>170</v>
      </c>
      <c r="I82" s="440"/>
      <c r="J82" s="111"/>
    </row>
    <row r="83" spans="2:10" ht="33.049999999999997" customHeight="1" thickBot="1">
      <c r="B83" s="438"/>
      <c r="C83" s="439"/>
      <c r="D83" s="439"/>
      <c r="E83" s="214" t="s">
        <v>198</v>
      </c>
      <c r="F83" s="214" t="s">
        <v>171</v>
      </c>
      <c r="G83" s="126"/>
      <c r="H83" s="214" t="s">
        <v>171</v>
      </c>
      <c r="I83" s="215" t="s">
        <v>199</v>
      </c>
      <c r="J83" s="111"/>
    </row>
    <row r="84" spans="2:10" ht="15.75" thickTop="1">
      <c r="B84" s="441">
        <v>2020</v>
      </c>
      <c r="C84" s="442"/>
      <c r="D84" s="442"/>
      <c r="E84" s="127"/>
      <c r="F84" s="127"/>
      <c r="G84" s="111"/>
      <c r="H84" s="127"/>
      <c r="I84" s="127"/>
      <c r="J84" s="111"/>
    </row>
    <row r="85" spans="2:10" ht="15.05">
      <c r="B85" s="443">
        <v>2021</v>
      </c>
      <c r="C85" s="444"/>
      <c r="D85" s="444"/>
      <c r="E85" s="114"/>
      <c r="F85" s="114"/>
      <c r="G85" s="111"/>
      <c r="H85" s="114"/>
      <c r="I85" s="114"/>
      <c r="J85" s="111"/>
    </row>
    <row r="86" spans="2:10" ht="15.05">
      <c r="B86" s="433" t="s">
        <v>172</v>
      </c>
      <c r="C86" s="434"/>
      <c r="D86" s="434"/>
      <c r="E86" s="114"/>
      <c r="F86" s="114"/>
      <c r="G86" s="111"/>
      <c r="H86" s="114"/>
      <c r="I86" s="114"/>
      <c r="J86" s="111"/>
    </row>
    <row r="87" spans="2:10" ht="15.05">
      <c r="B87" s="433" t="s">
        <v>187</v>
      </c>
      <c r="C87" s="434"/>
      <c r="D87" s="434"/>
      <c r="E87" s="114"/>
      <c r="F87" s="114"/>
      <c r="G87" s="111"/>
      <c r="H87" s="114"/>
      <c r="I87" s="114"/>
      <c r="J87" s="111"/>
    </row>
    <row r="88" spans="2:10" ht="15.05">
      <c r="B88" s="433" t="s">
        <v>188</v>
      </c>
      <c r="C88" s="434"/>
      <c r="D88" s="434"/>
      <c r="E88" s="114"/>
      <c r="F88" s="114"/>
      <c r="G88" s="111"/>
      <c r="H88" s="114"/>
      <c r="I88" s="114"/>
      <c r="J88" s="111"/>
    </row>
    <row r="89" spans="2:10" ht="15.05">
      <c r="B89" s="433" t="s">
        <v>189</v>
      </c>
      <c r="C89" s="434"/>
      <c r="D89" s="434"/>
      <c r="E89" s="114"/>
      <c r="F89" s="114"/>
      <c r="G89" s="111"/>
      <c r="H89" s="114"/>
      <c r="I89" s="114"/>
      <c r="J89" s="111"/>
    </row>
    <row r="90" spans="2:10" ht="15.05">
      <c r="B90" s="433" t="s">
        <v>190</v>
      </c>
      <c r="C90" s="434"/>
      <c r="D90" s="434"/>
      <c r="E90" s="114"/>
      <c r="F90" s="114"/>
      <c r="G90" s="111"/>
      <c r="H90" s="114"/>
      <c r="I90" s="114"/>
      <c r="J90" s="111"/>
    </row>
    <row r="91" spans="2:10" ht="15.05">
      <c r="B91" s="433" t="s">
        <v>191</v>
      </c>
      <c r="C91" s="434"/>
      <c r="D91" s="434"/>
      <c r="E91" s="114"/>
      <c r="F91" s="114"/>
      <c r="G91" s="111"/>
      <c r="H91" s="114"/>
      <c r="I91" s="114"/>
      <c r="J91" s="111"/>
    </row>
    <row r="92" spans="2:10" ht="15.05">
      <c r="B92" s="433" t="s">
        <v>192</v>
      </c>
      <c r="C92" s="434"/>
      <c r="D92" s="434"/>
      <c r="E92" s="114"/>
      <c r="F92" s="114"/>
      <c r="G92" s="111"/>
      <c r="H92" s="114"/>
      <c r="I92" s="114"/>
      <c r="J92" s="111"/>
    </row>
    <row r="93" spans="2:10" ht="15.05">
      <c r="B93" s="433" t="s">
        <v>193</v>
      </c>
      <c r="C93" s="434"/>
      <c r="D93" s="434"/>
      <c r="E93" s="114"/>
      <c r="F93" s="114"/>
      <c r="G93" s="111"/>
      <c r="H93" s="114"/>
      <c r="I93" s="114"/>
      <c r="J93" s="111"/>
    </row>
    <row r="94" spans="2:10" ht="15.05">
      <c r="B94" s="433" t="s">
        <v>194</v>
      </c>
      <c r="C94" s="434"/>
      <c r="D94" s="434"/>
      <c r="E94" s="114"/>
      <c r="F94" s="114"/>
      <c r="G94" s="111"/>
      <c r="H94" s="114"/>
      <c r="I94" s="114"/>
      <c r="J94" s="111"/>
    </row>
    <row r="95" spans="2:10" ht="15.05">
      <c r="B95" s="433" t="s">
        <v>195</v>
      </c>
      <c r="C95" s="434"/>
      <c r="D95" s="434"/>
      <c r="E95" s="114"/>
      <c r="F95" s="114"/>
      <c r="G95" s="111"/>
      <c r="H95" s="114"/>
      <c r="I95" s="114"/>
      <c r="J95" s="111"/>
    </row>
    <row r="96" spans="2:10" ht="15.05">
      <c r="B96" s="433" t="s">
        <v>196</v>
      </c>
      <c r="C96" s="434"/>
      <c r="D96" s="434"/>
      <c r="E96" s="114"/>
      <c r="F96" s="114"/>
      <c r="G96" s="111"/>
      <c r="H96" s="114"/>
      <c r="I96" s="114"/>
      <c r="J96" s="111"/>
    </row>
    <row r="97" spans="2:10" ht="15.05">
      <c r="B97" s="433" t="s">
        <v>197</v>
      </c>
      <c r="C97" s="434"/>
      <c r="D97" s="434"/>
      <c r="E97" s="114"/>
      <c r="F97" s="114"/>
      <c r="G97" s="111"/>
      <c r="H97" s="114"/>
      <c r="I97" s="114"/>
      <c r="J97" s="111"/>
    </row>
    <row r="98" spans="2:10" ht="15.05">
      <c r="B98" s="111"/>
      <c r="C98" s="111"/>
      <c r="D98" s="111"/>
      <c r="E98" s="111"/>
      <c r="F98" s="111"/>
      <c r="G98" s="111"/>
      <c r="H98" s="111"/>
      <c r="I98" s="111"/>
      <c r="J98" s="111"/>
    </row>
    <row r="99" spans="2:10" ht="15.05">
      <c r="B99" s="111"/>
      <c r="C99" s="111"/>
      <c r="D99" s="111"/>
      <c r="E99" s="111"/>
      <c r="F99" s="111"/>
      <c r="G99" s="111"/>
      <c r="H99" s="111"/>
      <c r="I99" s="111"/>
      <c r="J99" s="111"/>
    </row>
    <row r="100" spans="2:10" ht="15.75" thickBot="1">
      <c r="B100" s="111"/>
      <c r="C100" s="111"/>
      <c r="D100" s="111"/>
      <c r="E100" s="216" t="s">
        <v>173</v>
      </c>
      <c r="F100" s="216" t="s">
        <v>174</v>
      </c>
      <c r="G100" s="111"/>
      <c r="H100" s="111"/>
      <c r="I100" s="111"/>
      <c r="J100" s="111"/>
    </row>
    <row r="101" spans="2:10" ht="15.75" thickTop="1">
      <c r="B101" s="435" t="s">
        <v>224</v>
      </c>
      <c r="C101" s="435"/>
      <c r="D101" s="435"/>
      <c r="E101" s="127"/>
      <c r="F101" s="127"/>
      <c r="G101" s="111"/>
      <c r="H101" s="111"/>
      <c r="I101" s="111"/>
      <c r="J101" s="111"/>
    </row>
    <row r="102" spans="2:10" ht="15.05" customHeight="1">
      <c r="B102" s="432" t="s">
        <v>225</v>
      </c>
      <c r="C102" s="432"/>
      <c r="D102" s="432"/>
      <c r="E102" s="114"/>
      <c r="F102" s="114"/>
      <c r="G102" s="111"/>
      <c r="H102" s="111"/>
      <c r="I102" s="111"/>
      <c r="J102" s="111"/>
    </row>
    <row r="103" spans="2:10" ht="15.05" customHeight="1">
      <c r="E103" s="111"/>
      <c r="F103" s="111"/>
      <c r="G103" s="111"/>
      <c r="H103" s="111"/>
      <c r="I103" s="111"/>
      <c r="J103" s="111"/>
    </row>
    <row r="104" spans="2:10" ht="15.05">
      <c r="B104" s="111"/>
      <c r="C104" s="111"/>
      <c r="D104" s="111"/>
      <c r="E104" s="111"/>
      <c r="F104" s="111"/>
      <c r="G104" s="111"/>
      <c r="H104" s="111"/>
      <c r="I104" s="111"/>
      <c r="J104" s="111"/>
    </row>
    <row r="105" spans="2:10" ht="15.05">
      <c r="B105" s="111"/>
      <c r="C105" s="111"/>
      <c r="D105" s="111"/>
      <c r="E105" s="111"/>
      <c r="F105" s="111"/>
      <c r="G105" s="111"/>
      <c r="H105" s="111"/>
      <c r="I105" s="111"/>
      <c r="J105" s="111"/>
    </row>
    <row r="106" spans="2:10" ht="15.05">
      <c r="B106" s="111"/>
      <c r="C106" s="111"/>
      <c r="D106" s="111"/>
      <c r="E106" s="111"/>
      <c r="F106" s="111"/>
      <c r="G106" s="111"/>
      <c r="H106" s="111"/>
      <c r="I106" s="111"/>
      <c r="J106" s="111"/>
    </row>
    <row r="107" spans="2:10" ht="15.05">
      <c r="B107" s="111"/>
      <c r="C107" s="111"/>
      <c r="D107" s="111"/>
      <c r="E107" s="111"/>
      <c r="F107" s="111"/>
      <c r="G107" s="111"/>
      <c r="H107" s="111"/>
      <c r="I107" s="111"/>
      <c r="J107" s="111"/>
    </row>
    <row r="108" spans="2:10" ht="15.05">
      <c r="B108" s="111"/>
      <c r="C108" s="111"/>
      <c r="D108" s="111"/>
      <c r="E108" s="111"/>
      <c r="F108" s="111"/>
      <c r="G108" s="111"/>
      <c r="H108" s="111"/>
      <c r="I108" s="111"/>
      <c r="J108" s="111"/>
    </row>
    <row r="109" spans="2:10" ht="15.05">
      <c r="B109" s="111"/>
      <c r="C109" s="111"/>
      <c r="D109" s="111"/>
      <c r="E109" s="111"/>
      <c r="F109" s="111"/>
      <c r="G109" s="111"/>
      <c r="H109" s="111"/>
      <c r="I109" s="111"/>
      <c r="J109" s="111"/>
    </row>
    <row r="110" spans="2:10" ht="15.05">
      <c r="B110" s="111"/>
      <c r="C110" s="111"/>
      <c r="D110" s="111"/>
      <c r="E110" s="111"/>
      <c r="F110" s="111"/>
      <c r="G110" s="111"/>
      <c r="H110" s="111"/>
      <c r="I110" s="111"/>
      <c r="J110" s="111"/>
    </row>
    <row r="111" spans="2:10" ht="15.05">
      <c r="B111" s="111"/>
      <c r="C111" s="111"/>
      <c r="D111" s="111"/>
      <c r="E111" s="111"/>
      <c r="F111" s="111"/>
      <c r="G111" s="111"/>
      <c r="H111" s="111"/>
      <c r="I111" s="111"/>
      <c r="J111" s="111"/>
    </row>
    <row r="112" spans="2:10" ht="15.05">
      <c r="B112" s="111"/>
      <c r="C112" s="111"/>
      <c r="D112" s="111"/>
      <c r="E112" s="111"/>
      <c r="F112" s="111"/>
      <c r="G112" s="111"/>
      <c r="H112" s="111"/>
      <c r="I112" s="111"/>
      <c r="J112" s="111"/>
    </row>
    <row r="113" spans="2:10" ht="15.05">
      <c r="B113" s="111"/>
      <c r="C113" s="111"/>
      <c r="D113" s="111"/>
      <c r="E113" s="111"/>
      <c r="F113" s="111"/>
      <c r="G113" s="111"/>
      <c r="H113" s="111"/>
      <c r="I113" s="111"/>
      <c r="J113" s="111"/>
    </row>
    <row r="114" spans="2:10" ht="15.05">
      <c r="B114" s="111"/>
      <c r="C114" s="111"/>
      <c r="D114" s="111"/>
      <c r="E114" s="111"/>
      <c r="F114" s="111"/>
      <c r="G114" s="111"/>
      <c r="H114" s="111"/>
      <c r="I114" s="111"/>
      <c r="J114" s="111"/>
    </row>
    <row r="115" spans="2:10" ht="15.05">
      <c r="B115" s="111"/>
      <c r="C115" s="111"/>
      <c r="D115" s="111"/>
      <c r="E115" s="111"/>
      <c r="F115" s="111"/>
      <c r="G115" s="111"/>
      <c r="H115" s="111"/>
      <c r="I115" s="111"/>
      <c r="J115" s="111"/>
    </row>
    <row r="116" spans="2:10" ht="15.05">
      <c r="B116" s="111"/>
      <c r="C116" s="111"/>
      <c r="D116" s="111"/>
      <c r="E116" s="111"/>
      <c r="F116" s="111"/>
      <c r="G116" s="111"/>
      <c r="H116" s="111"/>
      <c r="I116" s="111"/>
      <c r="J116" s="111"/>
    </row>
    <row r="117" spans="2:10" ht="15.05">
      <c r="B117" s="111"/>
      <c r="C117" s="111"/>
      <c r="D117" s="111"/>
      <c r="E117" s="111"/>
      <c r="F117" s="111"/>
      <c r="G117" s="111"/>
      <c r="H117" s="111"/>
      <c r="I117" s="111"/>
      <c r="J117" s="111"/>
    </row>
    <row r="118" spans="2:10" ht="15.05">
      <c r="B118" s="111"/>
      <c r="C118" s="111"/>
      <c r="D118" s="111"/>
      <c r="E118" s="111"/>
      <c r="F118" s="111"/>
      <c r="G118" s="111"/>
      <c r="H118" s="111"/>
      <c r="I118" s="111"/>
      <c r="J118" s="111"/>
    </row>
    <row r="119" spans="2:10" ht="15.05">
      <c r="B119" s="111"/>
      <c r="C119" s="111"/>
      <c r="D119" s="111"/>
      <c r="E119" s="111"/>
      <c r="F119" s="111"/>
      <c r="G119" s="111"/>
      <c r="H119" s="111"/>
      <c r="I119" s="111"/>
      <c r="J119" s="111"/>
    </row>
    <row r="120" spans="2:10" ht="15.05">
      <c r="B120" s="111"/>
      <c r="C120" s="111"/>
      <c r="D120" s="111"/>
      <c r="E120" s="111"/>
      <c r="F120" s="111"/>
      <c r="G120" s="111"/>
      <c r="H120" s="111"/>
      <c r="I120" s="111"/>
      <c r="J120" s="111"/>
    </row>
    <row r="121" spans="2:10" ht="15.05">
      <c r="B121" s="111"/>
      <c r="C121" s="111"/>
      <c r="D121" s="111"/>
      <c r="E121" s="111"/>
      <c r="F121" s="111"/>
      <c r="G121" s="111"/>
      <c r="H121" s="111"/>
      <c r="I121" s="111"/>
      <c r="J121" s="111"/>
    </row>
    <row r="122" spans="2:10" ht="15.05">
      <c r="B122" s="111"/>
      <c r="C122" s="111"/>
      <c r="D122" s="111"/>
      <c r="E122" s="111"/>
      <c r="F122" s="111"/>
      <c r="G122" s="111"/>
      <c r="H122" s="111"/>
      <c r="I122" s="111"/>
      <c r="J122" s="111"/>
    </row>
    <row r="123" spans="2:10" ht="15.05">
      <c r="B123" s="111"/>
      <c r="C123" s="111"/>
      <c r="D123" s="111"/>
      <c r="E123" s="111"/>
      <c r="F123" s="111"/>
      <c r="G123" s="111"/>
      <c r="H123" s="111"/>
      <c r="I123" s="111"/>
      <c r="J123" s="111"/>
    </row>
    <row r="124" spans="2:10" ht="15.05">
      <c r="B124" s="111"/>
      <c r="C124" s="111"/>
      <c r="D124" s="111"/>
      <c r="E124" s="111"/>
      <c r="F124" s="111"/>
      <c r="G124" s="111"/>
      <c r="H124" s="111"/>
      <c r="I124" s="111"/>
      <c r="J124" s="111"/>
    </row>
    <row r="125" spans="2:10" ht="15.05">
      <c r="B125" s="111"/>
      <c r="C125" s="111"/>
      <c r="D125" s="111"/>
      <c r="E125" s="111"/>
      <c r="F125" s="111"/>
      <c r="G125" s="111"/>
      <c r="H125" s="111"/>
      <c r="I125" s="111"/>
      <c r="J125" s="111"/>
    </row>
    <row r="126" spans="2:10" ht="15.05">
      <c r="B126" s="111"/>
      <c r="C126" s="111"/>
      <c r="D126" s="111"/>
      <c r="E126" s="111"/>
      <c r="F126" s="111"/>
      <c r="G126" s="111"/>
      <c r="H126" s="111"/>
      <c r="I126" s="111"/>
      <c r="J126" s="111"/>
    </row>
    <row r="127" spans="2:10" ht="15.05">
      <c r="B127" s="111"/>
      <c r="C127" s="111"/>
      <c r="D127" s="111"/>
      <c r="E127" s="111"/>
      <c r="F127" s="111"/>
      <c r="G127" s="111"/>
      <c r="H127" s="111"/>
      <c r="I127" s="111"/>
      <c r="J127" s="111"/>
    </row>
    <row r="128" spans="2:10" ht="15.05">
      <c r="B128" s="111"/>
      <c r="C128" s="111"/>
      <c r="D128" s="111"/>
      <c r="E128" s="111"/>
      <c r="F128" s="111"/>
      <c r="G128" s="111"/>
      <c r="H128" s="111"/>
      <c r="I128" s="111"/>
      <c r="J128" s="111"/>
    </row>
    <row r="129" spans="2:10" ht="15.05">
      <c r="B129" s="111"/>
      <c r="C129" s="111"/>
      <c r="D129" s="111"/>
      <c r="E129" s="111"/>
      <c r="F129" s="111"/>
      <c r="G129" s="111"/>
      <c r="H129" s="111"/>
      <c r="I129" s="111"/>
      <c r="J129" s="111"/>
    </row>
    <row r="130" spans="2:10" ht="15.05">
      <c r="B130" s="111"/>
      <c r="C130" s="111"/>
      <c r="D130" s="111"/>
      <c r="E130" s="111"/>
      <c r="F130" s="111"/>
      <c r="G130" s="111"/>
      <c r="H130" s="111"/>
      <c r="I130" s="111"/>
      <c r="J130" s="111"/>
    </row>
    <row r="131" spans="2:10" ht="15.05">
      <c r="B131" s="111"/>
      <c r="C131" s="111"/>
      <c r="D131" s="111"/>
      <c r="E131" s="111"/>
      <c r="F131" s="111"/>
      <c r="G131" s="111"/>
      <c r="H131" s="111"/>
      <c r="I131" s="111"/>
      <c r="J131" s="111"/>
    </row>
    <row r="132" spans="2:10" ht="15.05">
      <c r="B132" s="111"/>
      <c r="C132" s="111"/>
      <c r="D132" s="111"/>
      <c r="E132" s="111"/>
      <c r="F132" s="111"/>
      <c r="G132" s="111"/>
      <c r="H132" s="111"/>
      <c r="I132" s="111"/>
      <c r="J132" s="111"/>
    </row>
    <row r="133" spans="2:10" ht="15.05">
      <c r="B133" s="111"/>
      <c r="C133" s="111"/>
      <c r="D133" s="111"/>
      <c r="E133" s="111"/>
      <c r="F133" s="111"/>
      <c r="G133" s="111"/>
      <c r="H133" s="111"/>
      <c r="I133" s="111"/>
      <c r="J133" s="111"/>
    </row>
    <row r="134" spans="2:10" ht="15.05">
      <c r="B134" s="111"/>
      <c r="C134" s="111"/>
      <c r="D134" s="111"/>
      <c r="E134" s="111"/>
      <c r="F134" s="111"/>
      <c r="G134" s="111"/>
      <c r="H134" s="111"/>
      <c r="I134" s="111"/>
      <c r="J134" s="111"/>
    </row>
    <row r="135" spans="2:10" ht="15.05">
      <c r="B135" s="111"/>
      <c r="C135" s="111"/>
      <c r="D135" s="111"/>
      <c r="E135" s="111"/>
      <c r="F135" s="111"/>
      <c r="G135" s="111"/>
      <c r="H135" s="111"/>
      <c r="I135" s="111"/>
      <c r="J135" s="111"/>
    </row>
    <row r="136" spans="2:10" ht="15.05">
      <c r="B136" s="111"/>
      <c r="C136" s="111"/>
      <c r="D136" s="111"/>
      <c r="E136" s="111"/>
      <c r="F136" s="111"/>
      <c r="G136" s="111"/>
      <c r="H136" s="111"/>
      <c r="I136" s="111"/>
      <c r="J136" s="111"/>
    </row>
    <row r="137" spans="2:10" ht="15.05">
      <c r="B137" s="111"/>
      <c r="C137" s="111"/>
      <c r="D137" s="111"/>
      <c r="E137" s="111"/>
      <c r="F137" s="111"/>
      <c r="G137" s="111"/>
      <c r="H137" s="111"/>
      <c r="I137" s="111"/>
      <c r="J137" s="111"/>
    </row>
    <row r="138" spans="2:10" ht="15.05">
      <c r="B138" s="111"/>
      <c r="C138" s="111"/>
      <c r="D138" s="111"/>
      <c r="E138" s="111"/>
      <c r="F138" s="111"/>
      <c r="G138" s="111"/>
      <c r="H138" s="111"/>
      <c r="I138" s="111"/>
      <c r="J138" s="111"/>
    </row>
    <row r="139" spans="2:10" ht="15.05">
      <c r="B139" s="111"/>
      <c r="C139" s="111"/>
      <c r="D139" s="111"/>
      <c r="E139" s="111"/>
      <c r="F139" s="111"/>
      <c r="G139" s="111"/>
      <c r="H139" s="111"/>
      <c r="I139" s="111"/>
      <c r="J139" s="111"/>
    </row>
    <row r="140" spans="2:10" ht="15.05">
      <c r="B140" s="111"/>
      <c r="C140" s="111"/>
      <c r="D140" s="111"/>
      <c r="E140" s="111"/>
      <c r="F140" s="111"/>
      <c r="G140" s="111"/>
      <c r="H140" s="111"/>
      <c r="I140" s="111"/>
      <c r="J140" s="111"/>
    </row>
    <row r="141" spans="2:10" ht="15.05">
      <c r="B141" s="111"/>
      <c r="C141" s="111"/>
      <c r="D141" s="111"/>
      <c r="E141" s="111"/>
      <c r="F141" s="111"/>
      <c r="G141" s="111"/>
      <c r="H141" s="111"/>
      <c r="I141" s="111"/>
      <c r="J141" s="111"/>
    </row>
    <row r="142" spans="2:10" ht="15.05">
      <c r="B142" s="111"/>
      <c r="C142" s="111"/>
      <c r="D142" s="111"/>
      <c r="E142" s="111"/>
      <c r="F142" s="111"/>
      <c r="G142" s="111"/>
      <c r="H142" s="111"/>
      <c r="I142" s="111"/>
      <c r="J142" s="111"/>
    </row>
    <row r="143" spans="2:10" ht="15.05">
      <c r="B143" s="111"/>
      <c r="C143" s="111"/>
      <c r="D143" s="111"/>
      <c r="E143" s="111"/>
      <c r="F143" s="111"/>
      <c r="G143" s="111"/>
      <c r="H143" s="111"/>
      <c r="I143" s="111"/>
      <c r="J143" s="111"/>
    </row>
    <row r="144" spans="2:10" ht="15.05">
      <c r="B144" s="111"/>
      <c r="C144" s="111"/>
      <c r="D144" s="111"/>
      <c r="E144" s="111"/>
      <c r="F144" s="111"/>
      <c r="G144" s="111"/>
      <c r="H144" s="111"/>
      <c r="I144" s="111"/>
      <c r="J144" s="111"/>
    </row>
    <row r="145" spans="2:10" ht="15.05">
      <c r="B145" s="111"/>
      <c r="C145" s="111"/>
      <c r="D145" s="111"/>
      <c r="E145" s="111"/>
      <c r="F145" s="111"/>
      <c r="G145" s="111"/>
      <c r="H145" s="111"/>
      <c r="I145" s="111"/>
      <c r="J145" s="111"/>
    </row>
    <row r="146" spans="2:10" ht="15.05">
      <c r="B146" s="111"/>
      <c r="C146" s="111"/>
      <c r="D146" s="111"/>
      <c r="E146" s="111"/>
      <c r="F146" s="111"/>
      <c r="G146" s="111"/>
      <c r="H146" s="111"/>
      <c r="I146" s="111"/>
      <c r="J146" s="111"/>
    </row>
    <row r="147" spans="2:10" ht="15.05">
      <c r="B147" s="111"/>
      <c r="C147" s="111"/>
      <c r="D147" s="111"/>
      <c r="E147" s="111"/>
      <c r="F147" s="111"/>
      <c r="G147" s="111"/>
      <c r="H147" s="111"/>
      <c r="I147" s="111"/>
      <c r="J147" s="111"/>
    </row>
    <row r="148" spans="2:10" ht="15.05">
      <c r="B148" s="111"/>
      <c r="C148" s="111"/>
      <c r="D148" s="111"/>
      <c r="E148" s="111"/>
      <c r="F148" s="111"/>
      <c r="G148" s="111"/>
      <c r="H148" s="111"/>
      <c r="I148" s="111"/>
      <c r="J148" s="111"/>
    </row>
    <row r="149" spans="2:10" ht="15.05">
      <c r="B149" s="111"/>
      <c r="C149" s="111"/>
      <c r="D149" s="111"/>
      <c r="E149" s="111"/>
      <c r="F149" s="111"/>
      <c r="G149" s="111"/>
      <c r="H149" s="111"/>
      <c r="I149" s="111"/>
      <c r="J149" s="111"/>
    </row>
    <row r="150" spans="2:10" ht="15.05">
      <c r="B150" s="111"/>
      <c r="C150" s="111"/>
      <c r="D150" s="111"/>
      <c r="E150" s="111"/>
      <c r="F150" s="111"/>
      <c r="G150" s="111"/>
      <c r="H150" s="111"/>
      <c r="I150" s="111"/>
      <c r="J150" s="111"/>
    </row>
    <row r="151" spans="2:10" ht="15.05">
      <c r="B151" s="111"/>
      <c r="C151" s="111"/>
      <c r="D151" s="111"/>
      <c r="E151" s="111"/>
      <c r="F151" s="111"/>
      <c r="G151" s="111"/>
      <c r="H151" s="111"/>
      <c r="I151" s="111"/>
      <c r="J151" s="111"/>
    </row>
    <row r="152" spans="2:10" ht="15.05">
      <c r="B152" s="111"/>
      <c r="C152" s="111"/>
      <c r="D152" s="111"/>
      <c r="E152" s="111"/>
      <c r="F152" s="111"/>
      <c r="G152" s="111"/>
      <c r="H152" s="111"/>
      <c r="I152" s="111"/>
      <c r="J152" s="111"/>
    </row>
    <row r="153" spans="2:10" ht="15.05">
      <c r="B153" s="111"/>
      <c r="C153" s="111"/>
      <c r="D153" s="111"/>
      <c r="E153" s="111"/>
      <c r="F153" s="111"/>
      <c r="G153" s="111"/>
      <c r="H153" s="111"/>
      <c r="I153" s="111"/>
      <c r="J153" s="111"/>
    </row>
    <row r="154" spans="2:10" ht="15.05">
      <c r="B154" s="111"/>
      <c r="C154" s="111"/>
      <c r="D154" s="111"/>
      <c r="E154" s="111"/>
      <c r="F154" s="111"/>
      <c r="G154" s="111"/>
      <c r="H154" s="111"/>
      <c r="I154" s="111"/>
      <c r="J154" s="111"/>
    </row>
    <row r="155" spans="2:10" ht="15.05">
      <c r="B155" s="111"/>
      <c r="C155" s="111"/>
      <c r="D155" s="111"/>
      <c r="E155" s="111"/>
      <c r="F155" s="111"/>
      <c r="G155" s="111"/>
      <c r="H155" s="111"/>
      <c r="I155" s="111"/>
      <c r="J155" s="111"/>
    </row>
    <row r="156" spans="2:10" ht="15.05">
      <c r="B156" s="111"/>
      <c r="C156" s="111"/>
      <c r="D156" s="111"/>
      <c r="E156" s="111"/>
      <c r="F156" s="111"/>
      <c r="G156" s="111"/>
      <c r="H156" s="111"/>
      <c r="I156" s="111"/>
      <c r="J156" s="111"/>
    </row>
    <row r="157" spans="2:10" ht="15.05">
      <c r="B157" s="111"/>
      <c r="C157" s="111"/>
      <c r="D157" s="111"/>
      <c r="E157" s="111"/>
      <c r="F157" s="111"/>
      <c r="G157" s="111"/>
      <c r="H157" s="111"/>
      <c r="I157" s="111"/>
      <c r="J157" s="111"/>
    </row>
    <row r="158" spans="2:10" ht="15.05">
      <c r="B158" s="111"/>
      <c r="C158" s="111"/>
      <c r="D158" s="111"/>
      <c r="E158" s="111"/>
      <c r="F158" s="111"/>
      <c r="G158" s="111"/>
      <c r="H158" s="111"/>
      <c r="I158" s="111"/>
      <c r="J158" s="111"/>
    </row>
    <row r="159" spans="2:10" ht="15.05">
      <c r="B159" s="111"/>
      <c r="C159" s="111"/>
      <c r="D159" s="111"/>
      <c r="E159" s="111"/>
      <c r="F159" s="111"/>
      <c r="G159" s="111"/>
      <c r="H159" s="111"/>
      <c r="I159" s="111"/>
      <c r="J159" s="111"/>
    </row>
    <row r="160" spans="2:10" ht="15.05">
      <c r="B160" s="111"/>
      <c r="C160" s="111"/>
      <c r="D160" s="111"/>
      <c r="E160" s="111"/>
      <c r="F160" s="111"/>
      <c r="G160" s="111"/>
      <c r="H160" s="111"/>
      <c r="I160" s="111"/>
      <c r="J160" s="111"/>
    </row>
    <row r="161" spans="2:10" ht="15.05">
      <c r="B161" s="111"/>
      <c r="C161" s="111"/>
      <c r="D161" s="111"/>
      <c r="E161" s="111"/>
      <c r="F161" s="111"/>
      <c r="G161" s="111"/>
      <c r="H161" s="111"/>
      <c r="I161" s="111"/>
      <c r="J161" s="111"/>
    </row>
    <row r="162" spans="2:10" ht="15.05">
      <c r="B162" s="111"/>
      <c r="C162" s="111"/>
      <c r="D162" s="111"/>
      <c r="E162" s="111"/>
      <c r="F162" s="111"/>
      <c r="G162" s="111"/>
      <c r="H162" s="111"/>
      <c r="I162" s="111"/>
      <c r="J162" s="111"/>
    </row>
    <row r="163" spans="2:10" ht="15.05">
      <c r="B163" s="111"/>
      <c r="C163" s="111"/>
      <c r="D163" s="111"/>
      <c r="E163" s="111"/>
      <c r="F163" s="111"/>
      <c r="G163" s="111"/>
      <c r="H163" s="111"/>
      <c r="I163" s="111"/>
      <c r="J163" s="111"/>
    </row>
    <row r="164" spans="2:10" ht="15.05">
      <c r="B164" s="111"/>
      <c r="C164" s="111"/>
      <c r="D164" s="111"/>
      <c r="E164" s="111"/>
      <c r="F164" s="111"/>
      <c r="G164" s="111"/>
      <c r="H164" s="111"/>
      <c r="I164" s="111"/>
      <c r="J164" s="111"/>
    </row>
    <row r="165" spans="2:10" ht="15.05">
      <c r="B165" s="111"/>
      <c r="C165" s="111"/>
      <c r="D165" s="111"/>
      <c r="E165" s="111"/>
      <c r="F165" s="111"/>
      <c r="G165" s="111"/>
      <c r="H165" s="111"/>
      <c r="I165" s="111"/>
      <c r="J165" s="111"/>
    </row>
    <row r="166" spans="2:10" ht="15.05">
      <c r="B166" s="111"/>
      <c r="C166" s="111"/>
      <c r="D166" s="111"/>
      <c r="E166" s="111"/>
      <c r="F166" s="111"/>
      <c r="G166" s="111"/>
      <c r="H166" s="111"/>
      <c r="I166" s="111"/>
      <c r="J166" s="111"/>
    </row>
    <row r="167" spans="2:10" ht="15.05">
      <c r="B167" s="111"/>
      <c r="C167" s="111"/>
      <c r="D167" s="111"/>
      <c r="E167" s="111"/>
      <c r="F167" s="111"/>
      <c r="G167" s="111"/>
      <c r="H167" s="111"/>
      <c r="I167" s="111"/>
      <c r="J167" s="111"/>
    </row>
    <row r="168" spans="2:10" ht="15.05">
      <c r="B168" s="111"/>
      <c r="C168" s="111"/>
      <c r="D168" s="111"/>
      <c r="E168" s="111"/>
      <c r="F168" s="111"/>
      <c r="G168" s="111"/>
      <c r="H168" s="111"/>
      <c r="I168" s="111"/>
      <c r="J168" s="111"/>
    </row>
    <row r="169" spans="2:10" ht="15.05">
      <c r="B169" s="111"/>
      <c r="C169" s="111"/>
      <c r="D169" s="111"/>
      <c r="E169" s="111"/>
      <c r="F169" s="111"/>
      <c r="G169" s="111"/>
      <c r="H169" s="111"/>
      <c r="I169" s="111"/>
      <c r="J169" s="111"/>
    </row>
    <row r="170" spans="2:10" ht="15.05">
      <c r="B170" s="111"/>
      <c r="C170" s="111"/>
      <c r="D170" s="111"/>
      <c r="E170" s="111"/>
      <c r="F170" s="111"/>
      <c r="G170" s="111"/>
      <c r="H170" s="111"/>
      <c r="I170" s="111"/>
      <c r="J170" s="111"/>
    </row>
    <row r="171" spans="2:10" ht="15.05">
      <c r="B171" s="111"/>
      <c r="C171" s="111"/>
      <c r="D171" s="111"/>
      <c r="E171" s="111"/>
      <c r="F171" s="111"/>
      <c r="G171" s="111"/>
      <c r="H171" s="111"/>
      <c r="I171" s="111"/>
      <c r="J171" s="111"/>
    </row>
    <row r="172" spans="2:10" ht="15.05">
      <c r="B172" s="111"/>
      <c r="C172" s="111"/>
      <c r="D172" s="111"/>
      <c r="E172" s="111"/>
      <c r="F172" s="111"/>
      <c r="G172" s="111"/>
      <c r="H172" s="111"/>
      <c r="I172" s="111"/>
      <c r="J172" s="111"/>
    </row>
    <row r="173" spans="2:10" ht="15.05">
      <c r="B173" s="111"/>
      <c r="C173" s="111"/>
      <c r="D173" s="111"/>
      <c r="E173" s="111"/>
      <c r="F173" s="111"/>
      <c r="G173" s="111"/>
      <c r="H173" s="111"/>
      <c r="I173" s="111"/>
      <c r="J173" s="111"/>
    </row>
    <row r="174" spans="2:10" ht="15.05">
      <c r="B174" s="111"/>
      <c r="C174" s="111"/>
      <c r="D174" s="111"/>
      <c r="E174" s="111"/>
      <c r="F174" s="111"/>
      <c r="G174" s="111"/>
      <c r="H174" s="111"/>
      <c r="I174" s="111"/>
      <c r="J174" s="111"/>
    </row>
    <row r="175" spans="2:10" ht="15.05">
      <c r="B175" s="111"/>
      <c r="C175" s="111"/>
      <c r="D175" s="111"/>
      <c r="E175" s="111"/>
      <c r="F175" s="111"/>
      <c r="G175" s="111"/>
      <c r="H175" s="111"/>
      <c r="I175" s="111"/>
      <c r="J175" s="111"/>
    </row>
    <row r="176" spans="2:10" ht="15.05">
      <c r="B176" s="111"/>
      <c r="C176" s="111"/>
      <c r="D176" s="111"/>
      <c r="E176" s="111"/>
      <c r="F176" s="111"/>
      <c r="G176" s="111"/>
      <c r="H176" s="111"/>
      <c r="I176" s="111"/>
      <c r="J176" s="111"/>
    </row>
    <row r="177" spans="2:10" ht="15.05">
      <c r="B177" s="111"/>
      <c r="C177" s="111"/>
      <c r="D177" s="111"/>
      <c r="E177" s="111"/>
      <c r="F177" s="111"/>
      <c r="G177" s="111"/>
      <c r="H177" s="111"/>
      <c r="I177" s="111"/>
      <c r="J177" s="111"/>
    </row>
    <row r="178" spans="2:10" ht="15.05">
      <c r="B178" s="111"/>
      <c r="C178" s="111"/>
      <c r="D178" s="111"/>
      <c r="E178" s="111"/>
      <c r="F178" s="111"/>
      <c r="G178" s="111"/>
      <c r="H178" s="111"/>
      <c r="I178" s="111"/>
      <c r="J178" s="111"/>
    </row>
    <row r="179" spans="2:10" ht="15.05">
      <c r="B179" s="111"/>
      <c r="C179" s="111"/>
      <c r="D179" s="111"/>
      <c r="E179" s="111"/>
      <c r="F179" s="111"/>
      <c r="G179" s="111"/>
      <c r="H179" s="111"/>
      <c r="I179" s="111"/>
      <c r="J179" s="111"/>
    </row>
    <row r="180" spans="2:10" ht="15.05">
      <c r="B180" s="111"/>
      <c r="C180" s="111"/>
      <c r="D180" s="111"/>
      <c r="E180" s="111"/>
      <c r="F180" s="111"/>
      <c r="G180" s="111"/>
      <c r="H180" s="111"/>
      <c r="I180" s="111"/>
      <c r="J180" s="111"/>
    </row>
    <row r="181" spans="2:10" ht="15.05">
      <c r="B181" s="111"/>
      <c r="C181" s="111"/>
      <c r="D181" s="111"/>
      <c r="E181" s="111"/>
      <c r="F181" s="111"/>
      <c r="G181" s="111"/>
      <c r="H181" s="111"/>
      <c r="I181" s="111"/>
      <c r="J181" s="111"/>
    </row>
    <row r="182" spans="2:10" ht="15.05">
      <c r="B182" s="111"/>
      <c r="C182" s="111"/>
      <c r="D182" s="111"/>
      <c r="E182" s="111"/>
      <c r="F182" s="111"/>
      <c r="G182" s="111"/>
      <c r="H182" s="111"/>
      <c r="I182" s="111"/>
      <c r="J182" s="111"/>
    </row>
    <row r="183" spans="2:10" ht="15.05">
      <c r="B183" s="111"/>
      <c r="C183" s="111"/>
      <c r="D183" s="111"/>
      <c r="E183" s="111"/>
      <c r="F183" s="111"/>
      <c r="G183" s="111"/>
      <c r="H183" s="111"/>
      <c r="I183" s="111"/>
      <c r="J183" s="111"/>
    </row>
    <row r="184" spans="2:10" ht="15.05">
      <c r="B184" s="111"/>
      <c r="C184" s="111"/>
      <c r="D184" s="111"/>
      <c r="E184" s="111"/>
      <c r="F184" s="111"/>
      <c r="G184" s="111"/>
      <c r="H184" s="111"/>
      <c r="I184" s="111"/>
      <c r="J184" s="111"/>
    </row>
    <row r="185" spans="2:10" ht="15.05">
      <c r="B185" s="111"/>
      <c r="C185" s="111"/>
      <c r="D185" s="111"/>
      <c r="E185" s="111"/>
      <c r="F185" s="111"/>
      <c r="G185" s="111"/>
      <c r="H185" s="111"/>
      <c r="I185" s="111"/>
      <c r="J185" s="111"/>
    </row>
    <row r="186" spans="2:10" ht="15.05">
      <c r="B186" s="111"/>
      <c r="C186" s="111"/>
      <c r="D186" s="111"/>
      <c r="E186" s="111"/>
      <c r="F186" s="111"/>
      <c r="G186" s="111"/>
      <c r="H186" s="111"/>
      <c r="I186" s="111"/>
      <c r="J186" s="111"/>
    </row>
    <row r="187" spans="2:10" ht="15.05">
      <c r="B187" s="111"/>
      <c r="C187" s="111"/>
      <c r="D187" s="111"/>
      <c r="E187" s="111"/>
      <c r="F187" s="111"/>
      <c r="G187" s="111"/>
      <c r="H187" s="111"/>
      <c r="I187" s="111"/>
      <c r="J187" s="111"/>
    </row>
    <row r="188" spans="2:10" ht="15.05">
      <c r="B188" s="111"/>
      <c r="C188" s="111"/>
      <c r="D188" s="111"/>
      <c r="E188" s="111"/>
      <c r="F188" s="111"/>
      <c r="G188" s="111"/>
      <c r="H188" s="111"/>
      <c r="I188" s="111"/>
      <c r="J188" s="111"/>
    </row>
    <row r="189" spans="2:10" ht="15.05">
      <c r="B189" s="111"/>
      <c r="C189" s="111"/>
      <c r="D189" s="111"/>
      <c r="E189" s="111"/>
      <c r="F189" s="111"/>
      <c r="G189" s="111"/>
      <c r="H189" s="111"/>
      <c r="I189" s="111"/>
      <c r="J189" s="111"/>
    </row>
    <row r="190" spans="2:10" ht="15.05">
      <c r="B190" s="111"/>
      <c r="C190" s="111"/>
      <c r="D190" s="111"/>
      <c r="E190" s="111"/>
      <c r="F190" s="111"/>
      <c r="G190" s="111"/>
      <c r="H190" s="111"/>
      <c r="I190" s="111"/>
      <c r="J190" s="111"/>
    </row>
    <row r="191" spans="2:10" ht="15.05">
      <c r="B191" s="111"/>
      <c r="C191" s="111"/>
      <c r="D191" s="111"/>
      <c r="E191" s="111"/>
      <c r="F191" s="111"/>
      <c r="G191" s="111"/>
      <c r="H191" s="111"/>
      <c r="I191" s="111"/>
      <c r="J191" s="111"/>
    </row>
    <row r="192" spans="2:10" ht="15.05">
      <c r="B192" s="111"/>
      <c r="C192" s="111"/>
      <c r="D192" s="111"/>
      <c r="E192" s="111"/>
      <c r="F192" s="111"/>
      <c r="G192" s="111"/>
      <c r="H192" s="111"/>
      <c r="I192" s="111"/>
      <c r="J192" s="111"/>
    </row>
    <row r="193" spans="2:10" ht="15.05">
      <c r="B193" s="111"/>
      <c r="C193" s="111"/>
      <c r="D193" s="111"/>
      <c r="E193" s="111"/>
      <c r="F193" s="111"/>
      <c r="G193" s="111"/>
      <c r="H193" s="111"/>
      <c r="I193" s="111"/>
      <c r="J193" s="111"/>
    </row>
    <row r="194" spans="2:10" ht="15.05">
      <c r="B194" s="111"/>
      <c r="C194" s="111"/>
      <c r="D194" s="111"/>
      <c r="E194" s="111"/>
      <c r="F194" s="111"/>
      <c r="G194" s="111"/>
      <c r="H194" s="111"/>
      <c r="I194" s="111"/>
      <c r="J194" s="111"/>
    </row>
    <row r="195" spans="2:10" ht="15.05">
      <c r="B195" s="111"/>
      <c r="C195" s="111"/>
      <c r="D195" s="111"/>
      <c r="E195" s="111"/>
      <c r="F195" s="111"/>
      <c r="G195" s="111"/>
      <c r="H195" s="111"/>
      <c r="I195" s="111"/>
      <c r="J195" s="111"/>
    </row>
    <row r="196" spans="2:10" ht="15.05">
      <c r="B196" s="111"/>
      <c r="C196" s="111"/>
      <c r="D196" s="111"/>
      <c r="E196" s="111"/>
      <c r="F196" s="111"/>
      <c r="G196" s="111"/>
      <c r="H196" s="111"/>
      <c r="I196" s="111"/>
      <c r="J196" s="111"/>
    </row>
    <row r="197" spans="2:10" ht="15.05">
      <c r="B197" s="111"/>
      <c r="C197" s="111"/>
      <c r="D197" s="111"/>
      <c r="E197" s="111"/>
      <c r="F197" s="111"/>
      <c r="G197" s="111"/>
      <c r="H197" s="111"/>
      <c r="I197" s="111"/>
      <c r="J197" s="111"/>
    </row>
    <row r="198" spans="2:10" ht="15.05">
      <c r="B198" s="111"/>
      <c r="C198" s="111"/>
      <c r="D198" s="111"/>
      <c r="E198" s="111"/>
      <c r="F198" s="111"/>
      <c r="G198" s="111"/>
      <c r="H198" s="111"/>
      <c r="I198" s="111"/>
      <c r="J198" s="111"/>
    </row>
    <row r="199" spans="2:10" ht="15.05">
      <c r="B199" s="111"/>
      <c r="C199" s="111"/>
      <c r="D199" s="111"/>
      <c r="E199" s="111"/>
      <c r="F199" s="111"/>
      <c r="G199" s="111"/>
      <c r="H199" s="111"/>
      <c r="I199" s="111"/>
      <c r="J199" s="111"/>
    </row>
    <row r="200" spans="2:10" ht="15.05">
      <c r="B200" s="111"/>
      <c r="C200" s="111"/>
      <c r="D200" s="111"/>
      <c r="E200" s="111"/>
      <c r="F200" s="111"/>
      <c r="G200" s="111"/>
      <c r="H200" s="111"/>
      <c r="I200" s="111"/>
      <c r="J200" s="111"/>
    </row>
    <row r="201" spans="2:10" ht="15.05">
      <c r="B201" s="111"/>
      <c r="C201" s="111"/>
      <c r="D201" s="111"/>
      <c r="E201" s="111"/>
      <c r="F201" s="111"/>
      <c r="G201" s="111"/>
      <c r="H201" s="111"/>
      <c r="I201" s="111"/>
      <c r="J201" s="111"/>
    </row>
    <row r="202" spans="2:10" ht="15.05">
      <c r="B202" s="111"/>
      <c r="C202" s="111"/>
      <c r="D202" s="111"/>
      <c r="E202" s="111"/>
      <c r="F202" s="111"/>
      <c r="G202" s="111"/>
      <c r="H202" s="111"/>
      <c r="I202" s="111"/>
      <c r="J202" s="111"/>
    </row>
    <row r="203" spans="2:10" ht="15.05">
      <c r="B203" s="111"/>
      <c r="C203" s="111"/>
      <c r="D203" s="111"/>
      <c r="E203" s="111"/>
      <c r="F203" s="111"/>
      <c r="G203" s="111"/>
      <c r="H203" s="111"/>
      <c r="I203" s="111"/>
      <c r="J203" s="111"/>
    </row>
    <row r="204" spans="2:10" ht="15.05">
      <c r="B204" s="111"/>
      <c r="C204" s="111"/>
      <c r="D204" s="111"/>
      <c r="E204" s="111"/>
      <c r="F204" s="111"/>
      <c r="G204" s="111"/>
      <c r="H204" s="111"/>
      <c r="I204" s="111"/>
      <c r="J204" s="111"/>
    </row>
    <row r="205" spans="2:10" ht="15.05">
      <c r="B205" s="111"/>
      <c r="C205" s="111"/>
      <c r="D205" s="111"/>
      <c r="E205" s="111"/>
      <c r="F205" s="111"/>
      <c r="G205" s="111"/>
      <c r="H205" s="111"/>
      <c r="I205" s="111"/>
      <c r="J205" s="111"/>
    </row>
    <row r="206" spans="2:10" ht="15.05">
      <c r="B206" s="111"/>
      <c r="C206" s="111"/>
      <c r="D206" s="111"/>
      <c r="E206" s="111"/>
      <c r="F206" s="111"/>
      <c r="G206" s="111"/>
      <c r="H206" s="111"/>
      <c r="I206" s="111"/>
      <c r="J206" s="111"/>
    </row>
    <row r="207" spans="2:10" ht="15.05">
      <c r="B207" s="111"/>
      <c r="C207" s="111"/>
      <c r="D207" s="111"/>
      <c r="E207" s="111"/>
      <c r="F207" s="111"/>
      <c r="G207" s="111"/>
      <c r="H207" s="111"/>
      <c r="I207" s="111"/>
      <c r="J207" s="111"/>
    </row>
    <row r="208" spans="2:10" ht="15.05">
      <c r="B208" s="111"/>
      <c r="C208" s="111"/>
      <c r="D208" s="111"/>
      <c r="E208" s="111"/>
      <c r="F208" s="111"/>
      <c r="G208" s="111"/>
      <c r="H208" s="111"/>
      <c r="I208" s="111"/>
      <c r="J208" s="111"/>
    </row>
    <row r="209" spans="2:10" ht="15.05">
      <c r="B209" s="111"/>
      <c r="C209" s="111"/>
      <c r="D209" s="111"/>
      <c r="E209" s="111"/>
      <c r="F209" s="111"/>
      <c r="G209" s="111"/>
      <c r="H209" s="111"/>
      <c r="I209" s="111"/>
      <c r="J209" s="111"/>
    </row>
    <row r="210" spans="2:10" ht="15.05">
      <c r="B210" s="111"/>
      <c r="C210" s="111"/>
      <c r="D210" s="111"/>
      <c r="E210" s="111"/>
      <c r="F210" s="111"/>
      <c r="G210" s="111"/>
      <c r="H210" s="111"/>
      <c r="I210" s="111"/>
      <c r="J210" s="111"/>
    </row>
    <row r="211" spans="2:10" ht="15.05">
      <c r="B211" s="111"/>
      <c r="C211" s="111"/>
      <c r="D211" s="111"/>
      <c r="E211" s="111"/>
      <c r="F211" s="111"/>
      <c r="G211" s="111"/>
      <c r="H211" s="111"/>
      <c r="I211" s="111"/>
      <c r="J211" s="111"/>
    </row>
    <row r="212" spans="2:10" ht="15.05">
      <c r="B212" s="111"/>
      <c r="C212" s="111"/>
      <c r="D212" s="111"/>
      <c r="E212" s="111"/>
      <c r="F212" s="111"/>
      <c r="G212" s="111"/>
      <c r="H212" s="111"/>
      <c r="I212" s="111"/>
      <c r="J212" s="111"/>
    </row>
    <row r="213" spans="2:10" ht="15.05">
      <c r="B213" s="111"/>
      <c r="C213" s="111"/>
      <c r="D213" s="111"/>
      <c r="E213" s="111"/>
      <c r="F213" s="111"/>
      <c r="G213" s="111"/>
      <c r="H213" s="111"/>
      <c r="I213" s="111"/>
      <c r="J213" s="111"/>
    </row>
    <row r="214" spans="2:10" ht="15.05">
      <c r="B214" s="111"/>
      <c r="C214" s="111"/>
      <c r="D214" s="111"/>
      <c r="E214" s="111"/>
      <c r="F214" s="111"/>
      <c r="G214" s="111"/>
      <c r="H214" s="111"/>
      <c r="I214" s="111"/>
      <c r="J214" s="111"/>
    </row>
    <row r="215" spans="2:10" ht="15.05">
      <c r="B215" s="111"/>
      <c r="C215" s="111"/>
      <c r="D215" s="111"/>
      <c r="E215" s="111"/>
      <c r="F215" s="111"/>
      <c r="G215" s="111"/>
      <c r="H215" s="111"/>
      <c r="I215" s="111"/>
      <c r="J215" s="111"/>
    </row>
    <row r="216" spans="2:10" ht="15.05">
      <c r="B216" s="111"/>
      <c r="C216" s="111"/>
      <c r="D216" s="111"/>
      <c r="E216" s="111"/>
      <c r="F216" s="111"/>
      <c r="G216" s="111"/>
      <c r="H216" s="111"/>
      <c r="I216" s="111"/>
      <c r="J216" s="111"/>
    </row>
    <row r="217" spans="2:10" ht="15.05">
      <c r="B217" s="111"/>
      <c r="C217" s="111"/>
      <c r="D217" s="111"/>
      <c r="E217" s="111"/>
      <c r="F217" s="111"/>
      <c r="G217" s="111"/>
      <c r="H217" s="111"/>
      <c r="I217" s="111"/>
      <c r="J217" s="111"/>
    </row>
    <row r="218" spans="2:10" ht="15.05">
      <c r="B218" s="111"/>
      <c r="C218" s="111"/>
      <c r="D218" s="111"/>
      <c r="E218" s="111"/>
      <c r="F218" s="111"/>
      <c r="G218" s="111"/>
      <c r="H218" s="111"/>
      <c r="I218" s="111"/>
      <c r="J218" s="111"/>
    </row>
    <row r="219" spans="2:10" ht="15.05">
      <c r="B219" s="111"/>
      <c r="C219" s="111"/>
      <c r="D219" s="111"/>
      <c r="E219" s="111"/>
      <c r="F219" s="111"/>
      <c r="G219" s="111"/>
      <c r="H219" s="111"/>
      <c r="I219" s="111"/>
      <c r="J219" s="111"/>
    </row>
    <row r="220" spans="2:10" ht="15.05">
      <c r="B220" s="111"/>
      <c r="C220" s="111"/>
      <c r="D220" s="111"/>
      <c r="E220" s="111"/>
      <c r="F220" s="111"/>
      <c r="G220" s="111"/>
      <c r="H220" s="111"/>
      <c r="I220" s="111"/>
      <c r="J220" s="111"/>
    </row>
    <row r="221" spans="2:10" ht="15.05">
      <c r="B221" s="111"/>
      <c r="C221" s="111"/>
      <c r="D221" s="111"/>
      <c r="E221" s="111"/>
      <c r="F221" s="111"/>
      <c r="G221" s="111"/>
      <c r="H221" s="111"/>
      <c r="I221" s="111"/>
      <c r="J221" s="111"/>
    </row>
    <row r="222" spans="2:10" ht="15.05">
      <c r="B222" s="111"/>
      <c r="C222" s="111"/>
      <c r="D222" s="111"/>
      <c r="E222" s="111"/>
      <c r="F222" s="111"/>
      <c r="G222" s="111"/>
      <c r="H222" s="111"/>
      <c r="I222" s="111"/>
      <c r="J222" s="111"/>
    </row>
    <row r="223" spans="2:10" ht="15.05">
      <c r="B223" s="111"/>
      <c r="C223" s="111"/>
      <c r="D223" s="111"/>
      <c r="E223" s="111"/>
      <c r="F223" s="111"/>
      <c r="G223" s="111"/>
      <c r="H223" s="111"/>
      <c r="I223" s="111"/>
      <c r="J223" s="111"/>
    </row>
    <row r="224" spans="2:10" ht="15.05">
      <c r="B224" s="111"/>
      <c r="C224" s="111"/>
      <c r="D224" s="111"/>
      <c r="E224" s="111"/>
      <c r="F224" s="111"/>
      <c r="G224" s="111"/>
      <c r="H224" s="111"/>
      <c r="I224" s="111"/>
      <c r="J224" s="111"/>
    </row>
    <row r="225" spans="2:10" ht="15.05">
      <c r="B225" s="111"/>
      <c r="C225" s="111"/>
      <c r="D225" s="111"/>
      <c r="E225" s="111"/>
      <c r="F225" s="111"/>
      <c r="G225" s="111"/>
      <c r="H225" s="111"/>
      <c r="I225" s="111"/>
      <c r="J225" s="111"/>
    </row>
    <row r="226" spans="2:10" ht="15.05">
      <c r="B226" s="111"/>
      <c r="C226" s="111"/>
      <c r="D226" s="111"/>
      <c r="E226" s="111"/>
      <c r="F226" s="111"/>
      <c r="G226" s="111"/>
      <c r="H226" s="111"/>
      <c r="I226" s="111"/>
      <c r="J226" s="111"/>
    </row>
    <row r="227" spans="2:10" ht="15.05">
      <c r="B227" s="111"/>
      <c r="C227" s="111"/>
      <c r="D227" s="111"/>
      <c r="E227" s="111"/>
      <c r="F227" s="111"/>
      <c r="G227" s="111"/>
      <c r="H227" s="111"/>
      <c r="I227" s="111"/>
      <c r="J227" s="111"/>
    </row>
    <row r="228" spans="2:10" ht="15.05">
      <c r="B228" s="111"/>
      <c r="C228" s="111"/>
      <c r="D228" s="111"/>
      <c r="E228" s="111"/>
      <c r="F228" s="111"/>
      <c r="G228" s="111"/>
      <c r="H228" s="111"/>
      <c r="I228" s="111"/>
      <c r="J228" s="111"/>
    </row>
    <row r="229" spans="2:10" ht="15.05">
      <c r="B229" s="111"/>
      <c r="C229" s="111"/>
      <c r="D229" s="111"/>
      <c r="E229" s="111"/>
      <c r="F229" s="111"/>
      <c r="G229" s="111"/>
      <c r="H229" s="111"/>
      <c r="I229" s="111"/>
      <c r="J229" s="111"/>
    </row>
    <row r="230" spans="2:10" ht="15.05">
      <c r="B230" s="111"/>
      <c r="C230" s="111"/>
      <c r="D230" s="111"/>
      <c r="E230" s="111"/>
      <c r="F230" s="111"/>
      <c r="G230" s="111"/>
      <c r="H230" s="111"/>
      <c r="I230" s="111"/>
      <c r="J230" s="111"/>
    </row>
    <row r="231" spans="2:10" ht="15.05">
      <c r="B231" s="111"/>
      <c r="C231" s="111"/>
      <c r="D231" s="111"/>
      <c r="E231" s="111"/>
      <c r="F231" s="111"/>
      <c r="G231" s="111"/>
      <c r="H231" s="111"/>
      <c r="I231" s="111"/>
      <c r="J231" s="111"/>
    </row>
    <row r="232" spans="2:10" ht="15.05">
      <c r="B232" s="111"/>
      <c r="C232" s="111"/>
      <c r="D232" s="111"/>
      <c r="E232" s="111"/>
      <c r="F232" s="111"/>
      <c r="G232" s="111"/>
      <c r="H232" s="111"/>
      <c r="I232" s="111"/>
      <c r="J232" s="111"/>
    </row>
    <row r="233" spans="2:10" ht="15.05">
      <c r="B233" s="111"/>
      <c r="C233" s="111"/>
      <c r="D233" s="111"/>
      <c r="E233" s="111"/>
      <c r="F233" s="111"/>
      <c r="G233" s="111"/>
      <c r="H233" s="111"/>
      <c r="I233" s="111"/>
      <c r="J233" s="111"/>
    </row>
    <row r="234" spans="2:10" ht="15.05">
      <c r="B234" s="111"/>
      <c r="C234" s="111"/>
      <c r="D234" s="111"/>
      <c r="E234" s="111"/>
      <c r="F234" s="111"/>
      <c r="G234" s="111"/>
      <c r="H234" s="111"/>
      <c r="I234" s="111"/>
      <c r="J234" s="111"/>
    </row>
    <row r="235" spans="2:10" ht="15.05">
      <c r="B235" s="111"/>
      <c r="C235" s="111"/>
      <c r="D235" s="111"/>
      <c r="E235" s="111"/>
      <c r="F235" s="111"/>
      <c r="G235" s="111"/>
      <c r="H235" s="111"/>
      <c r="I235" s="111"/>
      <c r="J235" s="111"/>
    </row>
    <row r="236" spans="2:10" ht="15.05">
      <c r="B236" s="111"/>
      <c r="C236" s="111"/>
      <c r="D236" s="111"/>
      <c r="E236" s="111"/>
      <c r="F236" s="111"/>
      <c r="G236" s="111"/>
      <c r="H236" s="111"/>
      <c r="I236" s="111"/>
      <c r="J236" s="111"/>
    </row>
    <row r="237" spans="2:10" ht="15.05">
      <c r="B237" s="111"/>
      <c r="C237" s="111"/>
      <c r="D237" s="111"/>
      <c r="E237" s="111"/>
      <c r="F237" s="111"/>
      <c r="G237" s="111"/>
      <c r="H237" s="111"/>
      <c r="I237" s="111"/>
      <c r="J237" s="111"/>
    </row>
    <row r="238" spans="2:10" ht="15.05">
      <c r="B238" s="111"/>
      <c r="C238" s="111"/>
      <c r="D238" s="111"/>
      <c r="E238" s="111"/>
      <c r="F238" s="111"/>
      <c r="G238" s="111"/>
      <c r="H238" s="111"/>
      <c r="I238" s="111"/>
      <c r="J238" s="111"/>
    </row>
    <row r="239" spans="2:10" ht="15.05">
      <c r="B239" s="111"/>
      <c r="C239" s="111"/>
      <c r="D239" s="111"/>
      <c r="E239" s="111"/>
      <c r="F239" s="111"/>
      <c r="G239" s="111"/>
      <c r="H239" s="111"/>
      <c r="I239" s="111"/>
      <c r="J239" s="111"/>
    </row>
    <row r="240" spans="2:10" ht="15.05">
      <c r="B240" s="111"/>
      <c r="C240" s="111"/>
      <c r="D240" s="111"/>
      <c r="E240" s="111"/>
      <c r="F240" s="111"/>
      <c r="G240" s="111"/>
      <c r="H240" s="111"/>
      <c r="I240" s="111"/>
      <c r="J240" s="111"/>
    </row>
    <row r="241" spans="2:10" ht="15.05">
      <c r="B241" s="111"/>
      <c r="C241" s="111"/>
      <c r="D241" s="111"/>
      <c r="E241" s="111"/>
      <c r="F241" s="111"/>
      <c r="G241" s="111"/>
      <c r="H241" s="111"/>
      <c r="I241" s="111"/>
      <c r="J241" s="111"/>
    </row>
    <row r="242" spans="2:10" ht="15.05">
      <c r="B242" s="111"/>
      <c r="C242" s="111"/>
      <c r="D242" s="111"/>
      <c r="E242" s="111"/>
      <c r="F242" s="111"/>
      <c r="G242" s="111"/>
      <c r="H242" s="111"/>
      <c r="I242" s="111"/>
      <c r="J242" s="111"/>
    </row>
    <row r="243" spans="2:10" ht="15.05">
      <c r="B243" s="111"/>
      <c r="C243" s="111"/>
      <c r="D243" s="111"/>
      <c r="E243" s="111"/>
      <c r="F243" s="111"/>
      <c r="G243" s="111"/>
      <c r="H243" s="111"/>
      <c r="I243" s="111"/>
      <c r="J243" s="111"/>
    </row>
    <row r="244" spans="2:10" ht="15.05">
      <c r="B244" s="111"/>
      <c r="C244" s="111"/>
      <c r="D244" s="111"/>
      <c r="E244" s="111"/>
      <c r="F244" s="111"/>
      <c r="G244" s="111"/>
      <c r="H244" s="111"/>
      <c r="I244" s="111"/>
      <c r="J244" s="111"/>
    </row>
    <row r="245" spans="2:10" ht="15.05">
      <c r="B245" s="111"/>
      <c r="C245" s="111"/>
      <c r="D245" s="111"/>
      <c r="E245" s="111"/>
      <c r="F245" s="111"/>
      <c r="G245" s="111"/>
      <c r="H245" s="111"/>
      <c r="I245" s="111"/>
      <c r="J245" s="111"/>
    </row>
    <row r="246" spans="2:10" ht="15.05">
      <c r="B246" s="111"/>
      <c r="C246" s="111"/>
      <c r="D246" s="111"/>
      <c r="E246" s="111"/>
      <c r="F246" s="111"/>
      <c r="G246" s="111"/>
      <c r="H246" s="111"/>
      <c r="I246" s="111"/>
      <c r="J246" s="111"/>
    </row>
    <row r="247" spans="2:10" ht="15.05">
      <c r="B247" s="111"/>
      <c r="C247" s="111"/>
      <c r="D247" s="111"/>
      <c r="E247" s="111"/>
      <c r="F247" s="111"/>
      <c r="G247" s="111"/>
      <c r="H247" s="111"/>
      <c r="I247" s="111"/>
      <c r="J247" s="111"/>
    </row>
    <row r="248" spans="2:10" ht="15.05">
      <c r="B248" s="111"/>
      <c r="C248" s="111"/>
      <c r="D248" s="111"/>
      <c r="E248" s="111"/>
      <c r="F248" s="111"/>
      <c r="G248" s="111"/>
      <c r="H248" s="111"/>
      <c r="I248" s="111"/>
      <c r="J248" s="111"/>
    </row>
    <row r="249" spans="2:10" ht="15.05">
      <c r="B249" s="111"/>
      <c r="C249" s="111"/>
      <c r="D249" s="111"/>
      <c r="E249" s="111"/>
      <c r="F249" s="111"/>
      <c r="G249" s="111"/>
      <c r="H249" s="111"/>
      <c r="I249" s="111"/>
      <c r="J249" s="111"/>
    </row>
    <row r="250" spans="2:10" ht="15.05">
      <c r="B250" s="111"/>
      <c r="C250" s="111"/>
      <c r="D250" s="111"/>
      <c r="E250" s="111"/>
      <c r="F250" s="111"/>
      <c r="G250" s="111"/>
      <c r="H250" s="111"/>
      <c r="I250" s="111"/>
      <c r="J250" s="111"/>
    </row>
    <row r="251" spans="2:10" ht="15.05">
      <c r="B251" s="111"/>
      <c r="C251" s="111"/>
      <c r="D251" s="111"/>
      <c r="E251" s="111"/>
      <c r="F251" s="111"/>
      <c r="G251" s="111"/>
      <c r="H251" s="111"/>
      <c r="I251" s="111"/>
      <c r="J251" s="111"/>
    </row>
    <row r="252" spans="2:10" ht="15.05">
      <c r="B252" s="111"/>
      <c r="C252" s="111"/>
      <c r="D252" s="111"/>
      <c r="E252" s="111"/>
      <c r="F252" s="111"/>
      <c r="G252" s="111"/>
      <c r="H252" s="111"/>
      <c r="I252" s="111"/>
      <c r="J252" s="111"/>
    </row>
    <row r="253" spans="2:10" ht="15.05">
      <c r="B253" s="111"/>
      <c r="C253" s="111"/>
      <c r="D253" s="111"/>
      <c r="E253" s="111"/>
      <c r="F253" s="111"/>
      <c r="G253" s="111"/>
      <c r="H253" s="111"/>
      <c r="I253" s="111"/>
      <c r="J253" s="111"/>
    </row>
    <row r="254" spans="2:10" ht="15.05">
      <c r="B254" s="111"/>
      <c r="C254" s="111"/>
      <c r="D254" s="111"/>
      <c r="E254" s="111"/>
      <c r="F254" s="111"/>
      <c r="G254" s="111"/>
      <c r="H254" s="111"/>
      <c r="I254" s="111"/>
      <c r="J254" s="111"/>
    </row>
    <row r="255" spans="2:10" ht="15.05">
      <c r="B255" s="111"/>
      <c r="C255" s="111"/>
      <c r="D255" s="111"/>
      <c r="E255" s="111"/>
      <c r="F255" s="111"/>
      <c r="G255" s="111"/>
      <c r="H255" s="111"/>
      <c r="I255" s="111"/>
      <c r="J255" s="111"/>
    </row>
    <row r="256" spans="2:10" ht="15.05">
      <c r="B256" s="111"/>
      <c r="C256" s="111"/>
      <c r="D256" s="111"/>
      <c r="E256" s="111"/>
      <c r="F256" s="111"/>
      <c r="G256" s="111"/>
      <c r="H256" s="111"/>
      <c r="I256" s="111"/>
      <c r="J256" s="111"/>
    </row>
    <row r="257" spans="2:10" ht="15.05">
      <c r="B257" s="111"/>
      <c r="C257" s="111"/>
      <c r="D257" s="111"/>
      <c r="E257" s="111"/>
      <c r="F257" s="111"/>
      <c r="G257" s="111"/>
      <c r="H257" s="111"/>
      <c r="I257" s="111"/>
      <c r="J257" s="111"/>
    </row>
    <row r="258" spans="2:10" ht="15.05">
      <c r="B258" s="111"/>
      <c r="C258" s="111"/>
      <c r="D258" s="111"/>
      <c r="E258" s="111"/>
      <c r="F258" s="111"/>
      <c r="G258" s="111"/>
      <c r="H258" s="111"/>
      <c r="I258" s="111"/>
      <c r="J258" s="111"/>
    </row>
    <row r="259" spans="2:10" ht="15.05">
      <c r="B259" s="111"/>
      <c r="C259" s="111"/>
      <c r="D259" s="111"/>
      <c r="E259" s="111"/>
      <c r="F259" s="111"/>
      <c r="G259" s="111"/>
      <c r="H259" s="111"/>
      <c r="I259" s="111"/>
      <c r="J259" s="111"/>
    </row>
    <row r="260" spans="2:10" ht="15.05">
      <c r="B260" s="111"/>
      <c r="C260" s="111"/>
      <c r="D260" s="111"/>
      <c r="E260" s="111"/>
      <c r="F260" s="111"/>
      <c r="G260" s="111"/>
      <c r="H260" s="111"/>
      <c r="I260" s="111"/>
      <c r="J260" s="111"/>
    </row>
    <row r="261" spans="2:10" ht="15.05">
      <c r="B261" s="111"/>
      <c r="C261" s="111"/>
      <c r="D261" s="111"/>
      <c r="E261" s="111"/>
      <c r="F261" s="111"/>
      <c r="G261" s="111"/>
      <c r="H261" s="111"/>
      <c r="I261" s="111"/>
      <c r="J261" s="111"/>
    </row>
    <row r="262" spans="2:10" ht="15.05">
      <c r="B262" s="111"/>
      <c r="C262" s="111"/>
      <c r="D262" s="111"/>
      <c r="E262" s="111"/>
      <c r="F262" s="111"/>
      <c r="G262" s="111"/>
      <c r="H262" s="111"/>
      <c r="I262" s="111"/>
      <c r="J262" s="111"/>
    </row>
    <row r="263" spans="2:10" ht="15.05">
      <c r="B263" s="111"/>
      <c r="C263" s="111"/>
      <c r="D263" s="111"/>
      <c r="E263" s="111"/>
      <c r="F263" s="111"/>
      <c r="G263" s="111"/>
      <c r="H263" s="111"/>
      <c r="I263" s="111"/>
      <c r="J263" s="111"/>
    </row>
    <row r="264" spans="2:10" ht="15.05">
      <c r="B264" s="111"/>
      <c r="C264" s="111"/>
      <c r="D264" s="111"/>
      <c r="E264" s="111"/>
      <c r="F264" s="111"/>
      <c r="G264" s="111"/>
      <c r="H264" s="111"/>
      <c r="I264" s="111"/>
      <c r="J264" s="111"/>
    </row>
    <row r="265" spans="2:10" ht="15.05">
      <c r="B265" s="111"/>
      <c r="C265" s="111"/>
      <c r="D265" s="111"/>
      <c r="E265" s="111"/>
      <c r="F265" s="111"/>
      <c r="G265" s="111"/>
      <c r="H265" s="111"/>
      <c r="I265" s="111"/>
      <c r="J265" s="111"/>
    </row>
    <row r="266" spans="2:10" ht="15.05">
      <c r="B266" s="111"/>
      <c r="C266" s="111"/>
      <c r="D266" s="111"/>
      <c r="E266" s="111"/>
      <c r="F266" s="111"/>
      <c r="G266" s="111"/>
      <c r="H266" s="111"/>
      <c r="I266" s="111"/>
      <c r="J266" s="111"/>
    </row>
    <row r="267" spans="2:10" ht="15.05">
      <c r="B267" s="111"/>
      <c r="C267" s="111"/>
      <c r="D267" s="111"/>
      <c r="E267" s="111"/>
      <c r="F267" s="111"/>
      <c r="G267" s="111"/>
      <c r="H267" s="111"/>
      <c r="I267" s="111"/>
      <c r="J267" s="111"/>
    </row>
    <row r="268" spans="2:10" ht="15.05">
      <c r="B268" s="111"/>
      <c r="C268" s="111"/>
      <c r="D268" s="111"/>
      <c r="E268" s="111"/>
      <c r="F268" s="111"/>
      <c r="G268" s="111"/>
      <c r="H268" s="111"/>
      <c r="I268" s="111"/>
      <c r="J268" s="111"/>
    </row>
    <row r="269" spans="2:10" ht="15.05">
      <c r="B269" s="111"/>
      <c r="C269" s="111"/>
      <c r="D269" s="111"/>
      <c r="E269" s="111"/>
      <c r="F269" s="111"/>
      <c r="G269" s="111"/>
      <c r="H269" s="111"/>
      <c r="I269" s="111"/>
      <c r="J269" s="111"/>
    </row>
    <row r="270" spans="2:10" ht="15.05">
      <c r="B270" s="111"/>
      <c r="C270" s="111"/>
      <c r="D270" s="111"/>
      <c r="E270" s="111"/>
      <c r="F270" s="111"/>
      <c r="G270" s="111"/>
      <c r="H270" s="111"/>
      <c r="I270" s="111"/>
      <c r="J270" s="111"/>
    </row>
    <row r="271" spans="2:10" ht="15.05">
      <c r="B271" s="111"/>
      <c r="C271" s="111"/>
      <c r="D271" s="111"/>
      <c r="E271" s="111"/>
      <c r="F271" s="111"/>
      <c r="G271" s="111"/>
      <c r="H271" s="111"/>
      <c r="I271" s="111"/>
      <c r="J271" s="111"/>
    </row>
    <row r="272" spans="2:10" ht="15.05">
      <c r="B272" s="111"/>
      <c r="C272" s="111"/>
      <c r="D272" s="111"/>
      <c r="E272" s="111"/>
      <c r="F272" s="111"/>
      <c r="G272" s="111"/>
      <c r="H272" s="111"/>
      <c r="I272" s="111"/>
      <c r="J272" s="111"/>
    </row>
    <row r="273" spans="2:10" ht="15.05">
      <c r="B273" s="111"/>
      <c r="C273" s="111"/>
      <c r="D273" s="111"/>
      <c r="E273" s="111"/>
      <c r="F273" s="111"/>
      <c r="G273" s="111"/>
      <c r="H273" s="111"/>
      <c r="I273" s="111"/>
      <c r="J273" s="111"/>
    </row>
    <row r="274" spans="2:10" ht="15.05">
      <c r="B274" s="111"/>
      <c r="C274" s="111"/>
      <c r="D274" s="111"/>
      <c r="E274" s="111"/>
      <c r="F274" s="111"/>
      <c r="G274" s="111"/>
      <c r="H274" s="111"/>
      <c r="I274" s="111"/>
      <c r="J274" s="111"/>
    </row>
    <row r="275" spans="2:10" ht="15.05">
      <c r="B275" s="111"/>
      <c r="C275" s="111"/>
      <c r="D275" s="111"/>
      <c r="E275" s="111"/>
      <c r="F275" s="111"/>
      <c r="G275" s="111"/>
      <c r="H275" s="111"/>
      <c r="I275" s="111"/>
      <c r="J275" s="111"/>
    </row>
    <row r="276" spans="2:10" ht="15.05">
      <c r="B276" s="111"/>
      <c r="C276" s="111"/>
      <c r="D276" s="111"/>
      <c r="E276" s="111"/>
      <c r="F276" s="111"/>
      <c r="G276" s="111"/>
      <c r="H276" s="111"/>
      <c r="I276" s="111"/>
      <c r="J276" s="111"/>
    </row>
    <row r="277" spans="2:10" ht="15.05">
      <c r="B277" s="111"/>
      <c r="C277" s="111"/>
      <c r="D277" s="111"/>
      <c r="E277" s="111"/>
      <c r="F277" s="111"/>
      <c r="G277" s="111"/>
      <c r="H277" s="111"/>
      <c r="I277" s="111"/>
      <c r="J277" s="111"/>
    </row>
    <row r="278" spans="2:10" ht="15.05">
      <c r="B278" s="111"/>
      <c r="C278" s="111"/>
      <c r="D278" s="111"/>
      <c r="E278" s="111"/>
      <c r="F278" s="111"/>
      <c r="G278" s="111"/>
      <c r="H278" s="111"/>
      <c r="I278" s="111"/>
      <c r="J278" s="111"/>
    </row>
    <row r="279" spans="2:10" ht="15.05">
      <c r="B279" s="111"/>
      <c r="C279" s="111"/>
      <c r="D279" s="111"/>
      <c r="E279" s="111"/>
      <c r="F279" s="111"/>
      <c r="G279" s="111"/>
      <c r="H279" s="111"/>
      <c r="I279" s="111"/>
      <c r="J279" s="111"/>
    </row>
    <row r="280" spans="2:10" ht="15.05">
      <c r="B280" s="111"/>
      <c r="C280" s="111"/>
      <c r="D280" s="111"/>
      <c r="E280" s="111"/>
      <c r="F280" s="111"/>
      <c r="G280" s="111"/>
      <c r="H280" s="111"/>
      <c r="I280" s="111"/>
      <c r="J280" s="111"/>
    </row>
  </sheetData>
  <sheetProtection selectLockedCells="1"/>
  <mergeCells count="169">
    <mergeCell ref="B1:J1"/>
    <mergeCell ref="B2:J2"/>
    <mergeCell ref="B4:J4"/>
    <mergeCell ref="B5:G5"/>
    <mergeCell ref="I5:J5"/>
    <mergeCell ref="B6:G6"/>
    <mergeCell ref="H6:J12"/>
    <mergeCell ref="B7:G7"/>
    <mergeCell ref="B8:G8"/>
    <mergeCell ref="B9:C9"/>
    <mergeCell ref="B10:D10"/>
    <mergeCell ref="E10:G10"/>
    <mergeCell ref="B3:J3"/>
    <mergeCell ref="E14:F14"/>
    <mergeCell ref="G14:H15"/>
    <mergeCell ref="I14:J15"/>
    <mergeCell ref="E15:F15"/>
    <mergeCell ref="D9:E9"/>
    <mergeCell ref="B11:E11"/>
    <mergeCell ref="F11:G11"/>
    <mergeCell ref="B12:E12"/>
    <mergeCell ref="F12:G12"/>
    <mergeCell ref="B13:J13"/>
    <mergeCell ref="B19:D19"/>
    <mergeCell ref="F19:G19"/>
    <mergeCell ref="I19:J19"/>
    <mergeCell ref="B20:D20"/>
    <mergeCell ref="F20:G20"/>
    <mergeCell ref="I20:J20"/>
    <mergeCell ref="B17:J17"/>
    <mergeCell ref="B18:D18"/>
    <mergeCell ref="F18:G18"/>
    <mergeCell ref="I18:J18"/>
    <mergeCell ref="B23:D23"/>
    <mergeCell ref="F23:G23"/>
    <mergeCell ref="I23:J23"/>
    <mergeCell ref="B24:D24"/>
    <mergeCell ref="F24:G24"/>
    <mergeCell ref="I24:J24"/>
    <mergeCell ref="B21:D21"/>
    <mergeCell ref="F21:G21"/>
    <mergeCell ref="I21:J21"/>
    <mergeCell ref="B22:D22"/>
    <mergeCell ref="F22:G22"/>
    <mergeCell ref="I22:J22"/>
    <mergeCell ref="B27:D27"/>
    <mergeCell ref="F27:G27"/>
    <mergeCell ref="I27:J27"/>
    <mergeCell ref="B28:D28"/>
    <mergeCell ref="F28:G28"/>
    <mergeCell ref="I28:J28"/>
    <mergeCell ref="B25:D25"/>
    <mergeCell ref="F25:G25"/>
    <mergeCell ref="I25:J25"/>
    <mergeCell ref="B26:D26"/>
    <mergeCell ref="F26:G26"/>
    <mergeCell ref="I26:J26"/>
    <mergeCell ref="B31:D31"/>
    <mergeCell ref="F31:G31"/>
    <mergeCell ref="I31:J31"/>
    <mergeCell ref="B32:D32"/>
    <mergeCell ref="F32:G32"/>
    <mergeCell ref="I32:J32"/>
    <mergeCell ref="B29:D29"/>
    <mergeCell ref="F29:G29"/>
    <mergeCell ref="I29:J29"/>
    <mergeCell ref="B30:D30"/>
    <mergeCell ref="F30:G30"/>
    <mergeCell ref="I30:J30"/>
    <mergeCell ref="B35:D35"/>
    <mergeCell ref="F35:G35"/>
    <mergeCell ref="I35:J35"/>
    <mergeCell ref="B36:D36"/>
    <mergeCell ref="F36:G36"/>
    <mergeCell ref="I36:J36"/>
    <mergeCell ref="B33:D33"/>
    <mergeCell ref="F33:G33"/>
    <mergeCell ref="I33:J33"/>
    <mergeCell ref="B34:D34"/>
    <mergeCell ref="F34:G34"/>
    <mergeCell ref="I34:J34"/>
    <mergeCell ref="B39:D39"/>
    <mergeCell ref="F39:G39"/>
    <mergeCell ref="I39:J39"/>
    <mergeCell ref="B40:D40"/>
    <mergeCell ref="F40:G40"/>
    <mergeCell ref="I40:J40"/>
    <mergeCell ref="B37:D37"/>
    <mergeCell ref="F37:G37"/>
    <mergeCell ref="I37:J37"/>
    <mergeCell ref="B38:D38"/>
    <mergeCell ref="F38:G38"/>
    <mergeCell ref="I38:J38"/>
    <mergeCell ref="B46:C46"/>
    <mergeCell ref="E46:G46"/>
    <mergeCell ref="B47:C47"/>
    <mergeCell ref="E47:G47"/>
    <mergeCell ref="B48:C48"/>
    <mergeCell ref="E48:G48"/>
    <mergeCell ref="B43:J43"/>
    <mergeCell ref="B45:J45"/>
    <mergeCell ref="B41:D41"/>
    <mergeCell ref="F41:G41"/>
    <mergeCell ref="I41:J41"/>
    <mergeCell ref="B42:D42"/>
    <mergeCell ref="F42:G42"/>
    <mergeCell ref="I42:J42"/>
    <mergeCell ref="B52:C52"/>
    <mergeCell ref="E52:G52"/>
    <mergeCell ref="B53:C53"/>
    <mergeCell ref="E53:G53"/>
    <mergeCell ref="B54:C54"/>
    <mergeCell ref="E54:G54"/>
    <mergeCell ref="B49:C49"/>
    <mergeCell ref="E49:G49"/>
    <mergeCell ref="B50:C50"/>
    <mergeCell ref="E50:G50"/>
    <mergeCell ref="B51:C51"/>
    <mergeCell ref="E51:G51"/>
    <mergeCell ref="B61:D61"/>
    <mergeCell ref="E61:F61"/>
    <mergeCell ref="B62:D62"/>
    <mergeCell ref="E62:F62"/>
    <mergeCell ref="B63:D63"/>
    <mergeCell ref="E63:F63"/>
    <mergeCell ref="B55:I55"/>
    <mergeCell ref="B56:I56"/>
    <mergeCell ref="B58:J58"/>
    <mergeCell ref="B59:D59"/>
    <mergeCell ref="E59:F59"/>
    <mergeCell ref="B60:D60"/>
    <mergeCell ref="E60:F60"/>
    <mergeCell ref="B71:J71"/>
    <mergeCell ref="B72:J72"/>
    <mergeCell ref="B73:E73"/>
    <mergeCell ref="G73:I73"/>
    <mergeCell ref="B74:E74"/>
    <mergeCell ref="G74:I74"/>
    <mergeCell ref="B64:D64"/>
    <mergeCell ref="E64:F64"/>
    <mergeCell ref="B65:I65"/>
    <mergeCell ref="B66:I66"/>
    <mergeCell ref="B70:F70"/>
    <mergeCell ref="G70:J70"/>
    <mergeCell ref="B82:D83"/>
    <mergeCell ref="E82:F82"/>
    <mergeCell ref="H82:I82"/>
    <mergeCell ref="B84:D84"/>
    <mergeCell ref="B85:D85"/>
    <mergeCell ref="B86:D86"/>
    <mergeCell ref="B75:F75"/>
    <mergeCell ref="G75:J75"/>
    <mergeCell ref="B76:F76"/>
    <mergeCell ref="G76:J76"/>
    <mergeCell ref="B79:J79"/>
    <mergeCell ref="B80:J80"/>
    <mergeCell ref="B102:D102"/>
    <mergeCell ref="B93:D93"/>
    <mergeCell ref="B94:D94"/>
    <mergeCell ref="B95:D95"/>
    <mergeCell ref="B96:D96"/>
    <mergeCell ref="B97:D97"/>
    <mergeCell ref="B101:D101"/>
    <mergeCell ref="B87:D87"/>
    <mergeCell ref="B88:D88"/>
    <mergeCell ref="B89:D89"/>
    <mergeCell ref="B90:D90"/>
    <mergeCell ref="B91:D91"/>
    <mergeCell ref="B92:D92"/>
  </mergeCells>
  <printOptions horizontalCentered="1"/>
  <pageMargins left="0.3" right="0.3" top="0.3" bottom="0.3" header="0.1" footer="0.1"/>
  <pageSetup scale="95" fitToHeight="0" orientation="portrait" r:id="rId1"/>
  <headerFooter>
    <oddFooter>&amp;L&amp;10&amp;F (&amp;D) / LAT12 FORM / Page &amp;P of &amp;N</oddFooter>
  </headerFooter>
  <rowBreaks count="1" manualBreakCount="1">
    <brk id="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3766-F63B-426C-AE2A-CB7871E110FF}">
  <sheetPr>
    <tabColor theme="1"/>
    <pageSetUpPr fitToPage="1"/>
  </sheetPr>
  <dimension ref="A1:I105"/>
  <sheetViews>
    <sheetView showGridLines="0" tabSelected="1" zoomScale="90" zoomScaleNormal="90" workbookViewId="0">
      <pane xSplit="3" ySplit="3" topLeftCell="D4" activePane="bottomRight" state="frozen"/>
      <selection pane="topRight" activeCell="D1" sqref="D1"/>
      <selection pane="bottomLeft" activeCell="A4" sqref="A4"/>
      <selection pane="bottomRight" activeCell="D4" sqref="D4"/>
    </sheetView>
  </sheetViews>
  <sheetFormatPr defaultRowHeight="14.4"/>
  <cols>
    <col min="1" max="1" width="1.77734375" customWidth="1"/>
    <col min="2" max="2" width="36.21875" customWidth="1"/>
    <col min="3" max="3" width="45.21875" customWidth="1"/>
    <col min="4" max="4" width="27.88671875" customWidth="1"/>
  </cols>
  <sheetData>
    <row r="1" spans="2:4" ht="25.2" customHeight="1">
      <c r="B1" s="82" t="s">
        <v>2</v>
      </c>
    </row>
    <row r="2" spans="2:4" ht="19.649999999999999">
      <c r="B2" s="82" t="s">
        <v>146</v>
      </c>
    </row>
    <row r="3" spans="2:4" ht="15.05" thickBot="1">
      <c r="D3" s="209"/>
    </row>
    <row r="4" spans="2:4" ht="15.75" customHeight="1">
      <c r="B4" s="525" t="s">
        <v>281</v>
      </c>
      <c r="C4" s="97" t="s">
        <v>33</v>
      </c>
      <c r="D4" s="217">
        <v>5.3E-3</v>
      </c>
    </row>
    <row r="5" spans="2:4" ht="15.75" customHeight="1">
      <c r="B5" s="526"/>
      <c r="C5" s="98" t="s">
        <v>34</v>
      </c>
      <c r="D5" s="218">
        <v>-0.04</v>
      </c>
    </row>
    <row r="6" spans="2:4" ht="15.75" customHeight="1">
      <c r="B6" s="526"/>
      <c r="C6" s="98" t="s">
        <v>35</v>
      </c>
      <c r="D6" s="218">
        <v>-4.1599999999999998E-2</v>
      </c>
    </row>
    <row r="7" spans="2:4" ht="15.75" customHeight="1">
      <c r="B7" s="526"/>
      <c r="C7" s="98" t="s">
        <v>36</v>
      </c>
      <c r="D7" s="218">
        <v>-4.3400000000000001E-2</v>
      </c>
    </row>
    <row r="8" spans="2:4" ht="16.399999999999999" customHeight="1">
      <c r="B8" s="526"/>
      <c r="C8" s="98" t="s">
        <v>37</v>
      </c>
      <c r="D8" s="218">
        <v>-4.5400000000000003E-2</v>
      </c>
    </row>
    <row r="9" spans="2:4" ht="16.399999999999999" customHeight="1" thickBot="1">
      <c r="B9" s="526"/>
      <c r="C9" s="99" t="s">
        <v>226</v>
      </c>
      <c r="D9" s="219">
        <v>0</v>
      </c>
    </row>
    <row r="10" spans="2:4" ht="16.399999999999999" customHeight="1" thickTop="1">
      <c r="B10" s="526"/>
      <c r="C10" s="100" t="s">
        <v>38</v>
      </c>
      <c r="D10" s="220">
        <v>4.7199999999999999E-2</v>
      </c>
    </row>
    <row r="11" spans="2:4" ht="15.75" customHeight="1">
      <c r="B11" s="526"/>
      <c r="C11" s="98" t="s">
        <v>39</v>
      </c>
      <c r="D11" s="218">
        <v>9.9599999999999994E-2</v>
      </c>
    </row>
    <row r="12" spans="2:4" ht="15.75" customHeight="1">
      <c r="B12" s="526"/>
      <c r="C12" s="98" t="s">
        <v>40</v>
      </c>
      <c r="D12" s="218">
        <v>9.06E-2</v>
      </c>
    </row>
    <row r="13" spans="2:4" ht="15.75" customHeight="1">
      <c r="B13" s="526"/>
      <c r="C13" s="98" t="s">
        <v>41</v>
      </c>
      <c r="D13" s="218">
        <v>8.3099999999999993E-2</v>
      </c>
    </row>
    <row r="14" spans="2:4" ht="16.399999999999999" customHeight="1">
      <c r="B14" s="526"/>
      <c r="C14" s="98" t="s">
        <v>42</v>
      </c>
      <c r="D14" s="218">
        <v>7.6700000000000004E-2</v>
      </c>
    </row>
    <row r="15" spans="2:4" ht="16.399999999999999" customHeight="1" thickBot="1">
      <c r="B15" s="527"/>
      <c r="C15" s="101" t="s">
        <v>227</v>
      </c>
      <c r="D15" s="221">
        <v>0</v>
      </c>
    </row>
    <row r="16" spans="2:4" ht="15.75" customHeight="1">
      <c r="B16" s="525" t="s">
        <v>282</v>
      </c>
      <c r="C16" s="102" t="s">
        <v>31</v>
      </c>
      <c r="D16" s="222">
        <v>0.15</v>
      </c>
    </row>
    <row r="17" spans="2:9" ht="15.75" customHeight="1">
      <c r="B17" s="526"/>
      <c r="C17" s="103" t="s">
        <v>32</v>
      </c>
      <c r="D17" s="223">
        <v>0.15</v>
      </c>
    </row>
    <row r="18" spans="2:9" ht="16.399999999999999" customHeight="1" thickBot="1">
      <c r="B18" s="527"/>
      <c r="C18" s="104" t="s">
        <v>66</v>
      </c>
      <c r="D18" s="224">
        <v>0.06</v>
      </c>
    </row>
    <row r="19" spans="2:9" ht="15.75" customHeight="1">
      <c r="B19" s="525" t="s">
        <v>283</v>
      </c>
      <c r="C19" s="102" t="s">
        <v>60</v>
      </c>
      <c r="D19" s="225">
        <v>1499</v>
      </c>
    </row>
    <row r="20" spans="2:9" ht="15.75" customHeight="1">
      <c r="B20" s="526"/>
      <c r="C20" s="103" t="s">
        <v>61</v>
      </c>
      <c r="D20" s="226">
        <v>2499</v>
      </c>
    </row>
    <row r="21" spans="2:9" ht="15.75" customHeight="1">
      <c r="B21" s="526"/>
      <c r="C21" s="103" t="s">
        <v>62</v>
      </c>
      <c r="D21" s="226">
        <v>9999</v>
      </c>
    </row>
    <row r="22" spans="2:9" ht="15.75" customHeight="1">
      <c r="B22" s="526"/>
      <c r="C22" s="103" t="s">
        <v>63</v>
      </c>
      <c r="D22" s="226">
        <v>9999999</v>
      </c>
    </row>
    <row r="23" spans="2:9" ht="16.399999999999999" customHeight="1" thickBot="1">
      <c r="B23" s="526"/>
      <c r="C23" s="105" t="s">
        <v>64</v>
      </c>
      <c r="D23" s="227">
        <v>9999999</v>
      </c>
    </row>
    <row r="24" spans="2:9" ht="16.399999999999999" customHeight="1" thickTop="1">
      <c r="B24" s="526"/>
      <c r="C24" s="106" t="s">
        <v>55</v>
      </c>
      <c r="D24" s="228">
        <v>0.5</v>
      </c>
    </row>
    <row r="25" spans="2:9" ht="15.75" customHeight="1">
      <c r="B25" s="526"/>
      <c r="C25" s="103" t="s">
        <v>56</v>
      </c>
      <c r="D25" s="229">
        <v>0.75</v>
      </c>
    </row>
    <row r="26" spans="2:9" ht="15.75" customHeight="1">
      <c r="B26" s="526"/>
      <c r="C26" s="103" t="s">
        <v>57</v>
      </c>
      <c r="D26" s="229">
        <v>1</v>
      </c>
    </row>
    <row r="27" spans="2:9" ht="15.75" customHeight="1">
      <c r="B27" s="526"/>
      <c r="C27" s="103" t="s">
        <v>58</v>
      </c>
      <c r="D27" s="229">
        <v>1.5</v>
      </c>
    </row>
    <row r="28" spans="2:9" ht="16.399999999999999" customHeight="1" thickBot="1">
      <c r="B28" s="527"/>
      <c r="C28" s="104" t="s">
        <v>59</v>
      </c>
      <c r="D28" s="230">
        <v>2</v>
      </c>
    </row>
    <row r="29" spans="2:9">
      <c r="D29" s="208"/>
    </row>
    <row r="30" spans="2:9">
      <c r="C30" s="209"/>
    </row>
    <row r="32" spans="2:9" ht="17.05">
      <c r="C32" s="431" t="s">
        <v>228</v>
      </c>
      <c r="D32" s="421"/>
      <c r="E32" s="421"/>
      <c r="F32" s="421"/>
      <c r="G32" s="421"/>
      <c r="H32" s="421"/>
      <c r="I32" s="421"/>
    </row>
    <row r="33" spans="3:9" ht="17.05">
      <c r="C33" s="431" t="s">
        <v>336</v>
      </c>
      <c r="D33" s="421"/>
      <c r="E33" s="421"/>
      <c r="F33" s="421"/>
      <c r="G33" s="421"/>
      <c r="H33" s="421"/>
      <c r="I33" s="421"/>
    </row>
    <row r="34" spans="3:9" ht="15.05">
      <c r="C34" s="95"/>
      <c r="D34" s="421"/>
      <c r="E34" s="421"/>
      <c r="F34" s="421"/>
      <c r="G34" s="421"/>
      <c r="H34" s="421"/>
      <c r="I34" s="421"/>
    </row>
    <row r="35" spans="3:9" ht="23.6">
      <c r="C35" s="426" t="s">
        <v>333</v>
      </c>
      <c r="D35" s="420"/>
      <c r="E35" s="420"/>
      <c r="F35" s="420"/>
      <c r="G35" s="420"/>
      <c r="H35" s="420"/>
      <c r="I35" s="420"/>
    </row>
    <row r="36" spans="3:9" ht="24.9" customHeight="1">
      <c r="C36" s="522" t="s">
        <v>334</v>
      </c>
      <c r="D36" s="522"/>
      <c r="E36" s="522"/>
      <c r="F36" s="522"/>
      <c r="G36" s="522"/>
      <c r="H36" s="522"/>
      <c r="I36" s="522"/>
    </row>
    <row r="37" spans="3:9" ht="15.05">
      <c r="C37" s="427"/>
      <c r="D37" s="428"/>
      <c r="E37" s="428"/>
      <c r="F37" s="428"/>
      <c r="G37" s="428"/>
      <c r="H37" s="428"/>
      <c r="I37" s="428"/>
    </row>
    <row r="38" spans="3:9" ht="15.75" thickBot="1">
      <c r="C38" s="424" t="s">
        <v>292</v>
      </c>
      <c r="D38" s="429" t="s">
        <v>293</v>
      </c>
      <c r="E38" s="428"/>
      <c r="F38" s="428"/>
      <c r="G38" s="428"/>
      <c r="H38" s="428"/>
      <c r="I38" s="428"/>
    </row>
    <row r="39" spans="3:9" ht="15.75" thickBot="1">
      <c r="C39" s="424" t="s">
        <v>294</v>
      </c>
      <c r="D39" s="429" t="s">
        <v>295</v>
      </c>
      <c r="E39" s="428"/>
      <c r="F39" s="428"/>
      <c r="G39" s="428"/>
      <c r="H39" s="428"/>
      <c r="I39" s="428"/>
    </row>
    <row r="40" spans="3:9" ht="15.75" thickBot="1">
      <c r="C40" s="424" t="s">
        <v>296</v>
      </c>
      <c r="D40" s="429" t="s">
        <v>297</v>
      </c>
      <c r="E40" s="428"/>
      <c r="F40" s="428"/>
      <c r="G40" s="428"/>
      <c r="H40" s="428"/>
      <c r="I40" s="428"/>
    </row>
    <row r="41" spans="3:9" ht="15.75" thickBot="1">
      <c r="C41" s="424"/>
      <c r="D41" s="429"/>
      <c r="E41" s="428"/>
      <c r="F41" s="428"/>
      <c r="G41" s="428"/>
      <c r="H41" s="428"/>
      <c r="I41" s="428"/>
    </row>
    <row r="42" spans="3:9" ht="15.75" thickBot="1">
      <c r="C42" s="424" t="s">
        <v>298</v>
      </c>
      <c r="D42" s="429" t="s">
        <v>295</v>
      </c>
      <c r="E42" s="428"/>
      <c r="F42" s="428"/>
      <c r="G42" s="428"/>
      <c r="H42" s="428"/>
      <c r="I42" s="428"/>
    </row>
    <row r="43" spans="3:9" ht="15.75" thickBot="1">
      <c r="C43" s="424" t="s">
        <v>299</v>
      </c>
      <c r="D43" s="429" t="s">
        <v>297</v>
      </c>
      <c r="E43" s="428"/>
      <c r="F43" s="428"/>
      <c r="G43" s="428"/>
      <c r="H43" s="428"/>
      <c r="I43" s="428"/>
    </row>
    <row r="44" spans="3:9" ht="15.75" thickBot="1">
      <c r="C44" s="424"/>
      <c r="D44" s="429"/>
      <c r="E44" s="428"/>
      <c r="F44" s="428"/>
      <c r="G44" s="428"/>
      <c r="H44" s="428"/>
      <c r="I44" s="428"/>
    </row>
    <row r="45" spans="3:9" ht="15.75" thickBot="1">
      <c r="C45" s="424" t="s">
        <v>300</v>
      </c>
      <c r="D45" s="429" t="s">
        <v>297</v>
      </c>
      <c r="E45" s="428"/>
      <c r="F45" s="428"/>
      <c r="G45" s="428"/>
      <c r="H45" s="428"/>
      <c r="I45" s="428"/>
    </row>
    <row r="46" spans="3:9" ht="15.75" thickBot="1">
      <c r="C46" s="424"/>
      <c r="D46" s="429"/>
      <c r="E46" s="428"/>
      <c r="F46" s="428"/>
      <c r="G46" s="428"/>
      <c r="H46" s="428"/>
      <c r="I46" s="428"/>
    </row>
    <row r="47" spans="3:9" ht="15.75" thickBot="1">
      <c r="C47" s="424" t="s">
        <v>301</v>
      </c>
      <c r="D47" s="429"/>
      <c r="E47" s="428"/>
      <c r="F47" s="428"/>
      <c r="G47" s="428"/>
      <c r="H47" s="428"/>
      <c r="I47" s="428"/>
    </row>
    <row r="48" spans="3:9" ht="15.75" thickBot="1">
      <c r="C48" s="424" t="s">
        <v>302</v>
      </c>
      <c r="D48" s="429" t="s">
        <v>303</v>
      </c>
      <c r="E48" s="428"/>
      <c r="F48" s="428"/>
      <c r="G48" s="428"/>
      <c r="H48" s="428"/>
      <c r="I48" s="428"/>
    </row>
    <row r="49" spans="2:9" ht="15.05">
      <c r="C49" s="425" t="s">
        <v>304</v>
      </c>
      <c r="D49" s="430" t="s">
        <v>303</v>
      </c>
      <c r="E49" s="428"/>
      <c r="F49" s="428"/>
      <c r="G49" s="428"/>
      <c r="H49" s="428"/>
      <c r="I49" s="428"/>
    </row>
    <row r="50" spans="2:9" ht="15.05">
      <c r="C50" s="420"/>
      <c r="D50" s="421"/>
      <c r="E50" s="421"/>
      <c r="F50" s="421"/>
      <c r="G50" s="421"/>
      <c r="H50" s="421"/>
      <c r="I50" s="421"/>
    </row>
    <row r="51" spans="2:9" ht="32.75" customHeight="1">
      <c r="C51" s="520" t="s">
        <v>331</v>
      </c>
      <c r="D51" s="520"/>
      <c r="E51" s="520"/>
      <c r="F51" s="520"/>
      <c r="G51" s="520"/>
      <c r="H51" s="520"/>
      <c r="I51" s="520"/>
    </row>
    <row r="52" spans="2:9" ht="15.05">
      <c r="C52" s="420"/>
      <c r="D52" s="421"/>
      <c r="E52" s="421"/>
      <c r="F52" s="421"/>
      <c r="G52" s="421"/>
      <c r="H52" s="421"/>
      <c r="I52" s="421"/>
    </row>
    <row r="53" spans="2:9" ht="28.15" customHeight="1">
      <c r="C53" s="523" t="s">
        <v>305</v>
      </c>
      <c r="D53" s="523"/>
      <c r="E53" s="523"/>
      <c r="F53" s="523"/>
      <c r="G53" s="523"/>
      <c r="H53" s="523"/>
      <c r="I53" s="523"/>
    </row>
    <row r="54" spans="2:9" ht="79.2" customHeight="1">
      <c r="B54" s="419"/>
      <c r="C54" s="523" t="s">
        <v>306</v>
      </c>
      <c r="D54" s="523"/>
      <c r="E54" s="523"/>
      <c r="F54" s="523"/>
      <c r="G54" s="523"/>
      <c r="H54" s="523"/>
      <c r="I54" s="523"/>
    </row>
    <row r="55" spans="2:9" ht="20.3" customHeight="1">
      <c r="C55" s="521" t="s">
        <v>307</v>
      </c>
      <c r="D55" s="521"/>
      <c r="E55" s="521"/>
      <c r="F55" s="521"/>
      <c r="G55" s="521"/>
      <c r="H55" s="521"/>
      <c r="I55" s="521"/>
    </row>
    <row r="56" spans="2:9" ht="15.05">
      <c r="C56" s="521" t="s">
        <v>308</v>
      </c>
      <c r="D56" s="521"/>
      <c r="E56" s="521"/>
      <c r="F56" s="521"/>
      <c r="G56" s="521"/>
      <c r="H56" s="521"/>
      <c r="I56" s="521"/>
    </row>
    <row r="57" spans="2:9" ht="15.05">
      <c r="C57" s="521" t="s">
        <v>309</v>
      </c>
      <c r="D57" s="521"/>
      <c r="E57" s="521"/>
      <c r="F57" s="521"/>
      <c r="G57" s="521"/>
      <c r="H57" s="521"/>
      <c r="I57" s="521"/>
    </row>
    <row r="58" spans="2:9" ht="15.05">
      <c r="C58" s="521" t="s">
        <v>310</v>
      </c>
      <c r="D58" s="521"/>
      <c r="E58" s="521"/>
      <c r="F58" s="521"/>
      <c r="G58" s="521"/>
      <c r="H58" s="521"/>
      <c r="I58" s="521"/>
    </row>
    <row r="59" spans="2:9" ht="15.05">
      <c r="C59" s="521" t="s">
        <v>311</v>
      </c>
      <c r="D59" s="521"/>
      <c r="E59" s="521"/>
      <c r="F59" s="521"/>
      <c r="G59" s="521"/>
      <c r="H59" s="521"/>
      <c r="I59" s="521"/>
    </row>
    <row r="60" spans="2:9" ht="15.05">
      <c r="C60" s="521" t="s">
        <v>312</v>
      </c>
      <c r="D60" s="521"/>
      <c r="E60" s="521"/>
      <c r="F60" s="521"/>
      <c r="G60" s="521"/>
      <c r="H60" s="521"/>
      <c r="I60" s="521"/>
    </row>
    <row r="61" spans="2:9" ht="15.05">
      <c r="C61" s="420"/>
      <c r="D61" s="421"/>
      <c r="E61" s="421"/>
      <c r="F61" s="421"/>
      <c r="G61" s="421"/>
      <c r="H61" s="421"/>
      <c r="I61" s="421"/>
    </row>
    <row r="62" spans="2:9" ht="63.5" customHeight="1">
      <c r="C62" s="522" t="s">
        <v>332</v>
      </c>
      <c r="D62" s="522"/>
      <c r="E62" s="522"/>
      <c r="F62" s="522"/>
      <c r="G62" s="522"/>
      <c r="H62" s="522"/>
      <c r="I62" s="522"/>
    </row>
    <row r="63" spans="2:9" ht="38" customHeight="1">
      <c r="C63" s="523" t="s">
        <v>313</v>
      </c>
      <c r="D63" s="523"/>
      <c r="E63" s="523"/>
      <c r="F63" s="523"/>
      <c r="G63" s="523"/>
      <c r="H63" s="523"/>
      <c r="I63" s="523"/>
    </row>
    <row r="64" spans="2:9" ht="15.05">
      <c r="C64" s="520"/>
      <c r="D64" s="520"/>
      <c r="E64" s="520"/>
      <c r="F64" s="520"/>
      <c r="G64" s="520"/>
      <c r="H64" s="520"/>
      <c r="I64" s="520"/>
    </row>
    <row r="65" spans="1:9" ht="23.6">
      <c r="A65">
        <v>0</v>
      </c>
      <c r="C65" s="524" t="s">
        <v>335</v>
      </c>
      <c r="D65" s="524"/>
      <c r="E65" s="524"/>
      <c r="F65" s="524"/>
      <c r="G65" s="524"/>
      <c r="H65" s="524"/>
      <c r="I65" s="524"/>
    </row>
    <row r="66" spans="1:9" ht="15.05">
      <c r="C66" s="520"/>
      <c r="D66" s="520"/>
      <c r="E66" s="520"/>
      <c r="F66" s="520"/>
      <c r="G66" s="520"/>
      <c r="H66" s="520"/>
      <c r="I66" s="520"/>
    </row>
    <row r="67" spans="1:9" ht="58.25" customHeight="1">
      <c r="C67" s="523" t="s">
        <v>314</v>
      </c>
      <c r="D67" s="523"/>
      <c r="E67" s="523"/>
      <c r="F67" s="523"/>
      <c r="G67" s="523"/>
      <c r="H67" s="523"/>
      <c r="I67" s="523"/>
    </row>
    <row r="68" spans="1:9" ht="15.05">
      <c r="C68" s="520"/>
      <c r="D68" s="520"/>
      <c r="E68" s="520"/>
      <c r="F68" s="520"/>
      <c r="G68" s="520"/>
      <c r="H68" s="520"/>
      <c r="I68" s="520"/>
    </row>
    <row r="69" spans="1:9" ht="15.05">
      <c r="C69" s="522" t="s">
        <v>315</v>
      </c>
      <c r="D69" s="522"/>
      <c r="E69" s="522"/>
      <c r="F69" s="522"/>
      <c r="G69" s="522"/>
      <c r="H69" s="522"/>
      <c r="I69" s="522"/>
    </row>
    <row r="70" spans="1:9" ht="15.05">
      <c r="C70" s="420"/>
      <c r="D70" s="421"/>
      <c r="E70" s="421"/>
      <c r="F70" s="421"/>
      <c r="G70" s="421"/>
      <c r="H70" s="421"/>
      <c r="I70" s="421"/>
    </row>
    <row r="71" spans="1:9" ht="15.75" thickBot="1">
      <c r="C71" s="424" t="s">
        <v>292</v>
      </c>
      <c r="D71" s="422" t="s">
        <v>316</v>
      </c>
      <c r="E71" s="421"/>
      <c r="F71" s="421"/>
      <c r="G71" s="421"/>
      <c r="H71" s="421"/>
      <c r="I71" s="421"/>
    </row>
    <row r="72" spans="1:9" ht="15.75" thickBot="1">
      <c r="C72" s="424" t="s">
        <v>317</v>
      </c>
      <c r="D72" s="422">
        <v>0.125</v>
      </c>
      <c r="E72" s="421"/>
      <c r="F72" s="421"/>
      <c r="G72" s="421"/>
      <c r="H72" s="421"/>
      <c r="I72" s="421"/>
    </row>
    <row r="73" spans="1:9" ht="15.75" thickBot="1">
      <c r="C73" s="424" t="s">
        <v>318</v>
      </c>
      <c r="D73" s="422">
        <v>9.3399999999999997E-2</v>
      </c>
      <c r="E73" s="421"/>
      <c r="F73" s="421"/>
      <c r="G73" s="421"/>
      <c r="H73" s="421"/>
      <c r="I73" s="421"/>
    </row>
    <row r="74" spans="1:9" ht="15.75" thickBot="1">
      <c r="C74" s="424" t="s">
        <v>319</v>
      </c>
      <c r="D74" s="422">
        <v>9.0999999999999998E-2</v>
      </c>
      <c r="E74" s="421"/>
      <c r="F74" s="421"/>
      <c r="G74" s="421"/>
      <c r="H74" s="421"/>
      <c r="I74" s="421"/>
    </row>
    <row r="75" spans="1:9" ht="15.75" thickBot="1">
      <c r="C75" s="424" t="s">
        <v>302</v>
      </c>
      <c r="D75" s="422">
        <v>0.17699999999999999</v>
      </c>
      <c r="E75" s="421"/>
      <c r="F75" s="421"/>
      <c r="G75" s="421"/>
      <c r="H75" s="421"/>
      <c r="I75" s="421"/>
    </row>
    <row r="76" spans="1:9" ht="15.75" thickBot="1">
      <c r="C76" s="424" t="s">
        <v>304</v>
      </c>
      <c r="D76" s="422">
        <v>0.251</v>
      </c>
      <c r="E76" s="421"/>
      <c r="F76" s="421"/>
      <c r="G76" s="421"/>
      <c r="H76" s="421"/>
      <c r="I76" s="421"/>
    </row>
    <row r="77" spans="1:9" ht="15.75" thickBot="1">
      <c r="C77" s="424" t="s">
        <v>320</v>
      </c>
      <c r="D77" s="422">
        <v>0.03</v>
      </c>
      <c r="E77" s="421"/>
      <c r="F77" s="421"/>
      <c r="G77" s="421"/>
      <c r="H77" s="421"/>
      <c r="I77" s="421"/>
    </row>
    <row r="78" spans="1:9" ht="15.75" thickBot="1">
      <c r="C78" s="424" t="s">
        <v>321</v>
      </c>
      <c r="D78" s="422">
        <v>1.2999999999999999E-2</v>
      </c>
      <c r="E78" s="421"/>
      <c r="F78" s="421"/>
      <c r="G78" s="421"/>
      <c r="H78" s="421"/>
      <c r="I78" s="421"/>
    </row>
    <row r="79" spans="1:9" ht="15.75" thickBot="1">
      <c r="C79" s="424"/>
      <c r="D79" s="422"/>
      <c r="E79" s="421"/>
      <c r="F79" s="421"/>
      <c r="G79" s="421"/>
      <c r="H79" s="421"/>
      <c r="I79" s="421"/>
    </row>
    <row r="80" spans="1:9" ht="15.75" thickBot="1">
      <c r="C80" s="424" t="s">
        <v>322</v>
      </c>
      <c r="D80" s="422" t="s">
        <v>316</v>
      </c>
      <c r="E80" s="421"/>
      <c r="F80" s="421"/>
      <c r="G80" s="421"/>
      <c r="H80" s="421"/>
      <c r="I80" s="421"/>
    </row>
    <row r="81" spans="3:9" ht="15.75" thickBot="1">
      <c r="C81" s="424" t="s">
        <v>317</v>
      </c>
      <c r="D81" s="422">
        <v>6.25E-2</v>
      </c>
      <c r="E81" s="421"/>
      <c r="F81" s="421"/>
      <c r="G81" s="421"/>
      <c r="H81" s="421"/>
      <c r="I81" s="421"/>
    </row>
    <row r="82" spans="3:9" ht="15.75" thickBot="1">
      <c r="C82" s="424" t="s">
        <v>318</v>
      </c>
      <c r="D82" s="422">
        <v>4.6699999999999998E-2</v>
      </c>
      <c r="E82" s="421"/>
      <c r="F82" s="421"/>
      <c r="G82" s="421"/>
      <c r="H82" s="421"/>
      <c r="I82" s="421"/>
    </row>
    <row r="83" spans="3:9" ht="15.75" thickBot="1">
      <c r="C83" s="424" t="s">
        <v>319</v>
      </c>
      <c r="D83" s="422">
        <v>4.5499999999999999E-2</v>
      </c>
      <c r="E83" s="421"/>
      <c r="F83" s="421"/>
      <c r="G83" s="421"/>
      <c r="H83" s="421"/>
      <c r="I83" s="421"/>
    </row>
    <row r="84" spans="3:9" ht="15.75" thickBot="1">
      <c r="C84" s="424" t="s">
        <v>302</v>
      </c>
      <c r="D84" s="422">
        <v>8.8499999999999995E-2</v>
      </c>
      <c r="E84" s="421"/>
      <c r="F84" s="421"/>
      <c r="G84" s="421"/>
      <c r="H84" s="421"/>
      <c r="I84" s="421"/>
    </row>
    <row r="85" spans="3:9" ht="15.75" thickBot="1">
      <c r="C85" s="424" t="s">
        <v>304</v>
      </c>
      <c r="D85" s="422">
        <v>0.1255</v>
      </c>
      <c r="E85" s="421"/>
      <c r="F85" s="421"/>
      <c r="G85" s="421"/>
      <c r="H85" s="421"/>
      <c r="I85" s="421"/>
    </row>
    <row r="86" spans="3:9" ht="15.75" thickBot="1">
      <c r="C86" s="424"/>
      <c r="D86" s="422"/>
      <c r="E86" s="421"/>
      <c r="F86" s="421"/>
      <c r="G86" s="421"/>
      <c r="H86" s="421"/>
      <c r="I86" s="421"/>
    </row>
    <row r="87" spans="3:9" ht="15.75" thickBot="1">
      <c r="C87" s="424" t="s">
        <v>323</v>
      </c>
      <c r="D87" s="422" t="s">
        <v>316</v>
      </c>
      <c r="E87" s="421"/>
      <c r="F87" s="421"/>
      <c r="G87" s="421"/>
      <c r="H87" s="421"/>
      <c r="I87" s="421"/>
    </row>
    <row r="88" spans="3:9" ht="15.75" thickBot="1">
      <c r="C88" s="424" t="s">
        <v>317</v>
      </c>
      <c r="D88" s="422">
        <v>3.125E-2</v>
      </c>
      <c r="E88" s="421"/>
      <c r="F88" s="421"/>
      <c r="G88" s="421"/>
      <c r="H88" s="421"/>
      <c r="I88" s="421"/>
    </row>
    <row r="89" spans="3:9" ht="15.75" thickBot="1">
      <c r="C89" s="424" t="s">
        <v>318</v>
      </c>
      <c r="D89" s="422">
        <v>2.3349999999999999E-2</v>
      </c>
      <c r="E89" s="421"/>
      <c r="F89" s="421"/>
      <c r="G89" s="421"/>
      <c r="H89" s="421"/>
      <c r="I89" s="421"/>
    </row>
    <row r="90" spans="3:9" ht="15.75" thickBot="1">
      <c r="C90" s="424" t="s">
        <v>319</v>
      </c>
      <c r="D90" s="422">
        <v>2.2749999999999999E-2</v>
      </c>
      <c r="E90" s="421"/>
      <c r="F90" s="421"/>
      <c r="G90" s="421"/>
      <c r="H90" s="421"/>
      <c r="I90" s="421"/>
    </row>
    <row r="91" spans="3:9" ht="15.75" thickBot="1">
      <c r="C91" s="424" t="s">
        <v>302</v>
      </c>
      <c r="D91" s="422">
        <v>4.4249999999999998E-2</v>
      </c>
      <c r="E91" s="421"/>
      <c r="F91" s="421"/>
      <c r="G91" s="421"/>
      <c r="H91" s="421"/>
      <c r="I91" s="421"/>
    </row>
    <row r="92" spans="3:9" ht="15.75" thickBot="1">
      <c r="C92" s="424" t="s">
        <v>304</v>
      </c>
      <c r="D92" s="422">
        <v>6.275E-2</v>
      </c>
      <c r="E92" s="421"/>
      <c r="F92" s="421"/>
      <c r="G92" s="421"/>
      <c r="H92" s="421"/>
      <c r="I92" s="421"/>
    </row>
    <row r="93" spans="3:9" ht="15.75" thickBot="1">
      <c r="C93" s="424"/>
      <c r="D93" s="422"/>
      <c r="E93" s="421"/>
      <c r="F93" s="421"/>
      <c r="G93" s="421"/>
      <c r="H93" s="421"/>
      <c r="I93" s="421"/>
    </row>
    <row r="94" spans="3:9" ht="15.75" thickBot="1">
      <c r="C94" s="424" t="s">
        <v>301</v>
      </c>
      <c r="D94" s="422" t="s">
        <v>316</v>
      </c>
      <c r="E94" s="421"/>
      <c r="F94" s="421"/>
      <c r="G94" s="421"/>
      <c r="H94" s="421"/>
      <c r="I94" s="421"/>
    </row>
    <row r="95" spans="3:9" ht="15.75" thickBot="1">
      <c r="C95" s="424" t="s">
        <v>302</v>
      </c>
      <c r="D95" s="422">
        <v>3.5400000000000001E-2</v>
      </c>
      <c r="E95" s="421"/>
      <c r="F95" s="421"/>
      <c r="G95" s="421"/>
      <c r="H95" s="421"/>
      <c r="I95" s="421"/>
    </row>
    <row r="96" spans="3:9" ht="15.05">
      <c r="C96" s="425" t="s">
        <v>304</v>
      </c>
      <c r="D96" s="423">
        <v>5.0200000000000002E-2</v>
      </c>
      <c r="E96" s="421"/>
      <c r="F96" s="421"/>
      <c r="G96" s="421"/>
      <c r="H96" s="421"/>
      <c r="I96" s="421"/>
    </row>
    <row r="97" spans="3:9" ht="15.05">
      <c r="C97" s="420"/>
      <c r="D97" s="421"/>
      <c r="E97" s="421"/>
      <c r="F97" s="421"/>
      <c r="G97" s="421"/>
      <c r="H97" s="421"/>
      <c r="I97" s="421"/>
    </row>
    <row r="98" spans="3:9" ht="60.9" customHeight="1">
      <c r="C98" s="523" t="s">
        <v>324</v>
      </c>
      <c r="D98" s="523"/>
      <c r="E98" s="523"/>
      <c r="F98" s="523"/>
      <c r="G98" s="523"/>
      <c r="H98" s="523"/>
      <c r="I98" s="523"/>
    </row>
    <row r="99" spans="3:9" ht="22.95" customHeight="1">
      <c r="C99" s="521" t="s">
        <v>325</v>
      </c>
      <c r="D99" s="521"/>
      <c r="E99" s="521"/>
      <c r="F99" s="521"/>
      <c r="G99" s="521"/>
      <c r="H99" s="521"/>
      <c r="I99" s="521"/>
    </row>
    <row r="100" spans="3:9" ht="15.05">
      <c r="C100" s="521" t="s">
        <v>326</v>
      </c>
      <c r="D100" s="521"/>
      <c r="E100" s="521"/>
      <c r="F100" s="521"/>
      <c r="G100" s="521"/>
      <c r="H100" s="521"/>
      <c r="I100" s="521"/>
    </row>
    <row r="101" spans="3:9" ht="15.05">
      <c r="C101" s="521" t="s">
        <v>327</v>
      </c>
      <c r="D101" s="521"/>
      <c r="E101" s="521"/>
      <c r="F101" s="521"/>
      <c r="G101" s="521"/>
      <c r="H101" s="521"/>
      <c r="I101" s="521"/>
    </row>
    <row r="102" spans="3:9" ht="15.05">
      <c r="C102" s="521" t="s">
        <v>328</v>
      </c>
      <c r="D102" s="521"/>
      <c r="E102" s="521"/>
      <c r="F102" s="521"/>
      <c r="G102" s="521"/>
      <c r="H102" s="521"/>
      <c r="I102" s="521"/>
    </row>
    <row r="103" spans="3:9" ht="15.05">
      <c r="C103" s="521" t="s">
        <v>329</v>
      </c>
      <c r="D103" s="521"/>
      <c r="E103" s="521"/>
      <c r="F103" s="521"/>
      <c r="G103" s="521"/>
      <c r="H103" s="521"/>
      <c r="I103" s="521"/>
    </row>
    <row r="104" spans="3:9" ht="15.05">
      <c r="C104" s="521" t="s">
        <v>330</v>
      </c>
      <c r="D104" s="521"/>
      <c r="E104" s="521"/>
      <c r="F104" s="521"/>
      <c r="G104" s="521"/>
      <c r="H104" s="521"/>
      <c r="I104" s="521"/>
    </row>
    <row r="105" spans="3:9">
      <c r="C105" s="519"/>
      <c r="D105" s="519"/>
      <c r="E105" s="519"/>
      <c r="F105" s="519"/>
      <c r="G105" s="519"/>
      <c r="H105" s="519"/>
      <c r="I105" s="519"/>
    </row>
  </sheetData>
  <sheetProtection algorithmName="SHA-512" hashValue="QqMxHRg1cdv+5fpPyHCITBjdGcW7nRD/OUTzDlQgUdB166u5Lw1cpp/0zQ1wGp4Pnh50dMKAyMMLFIuG9jZ+XA==" saltValue="PMoybm7ab7ZFyNQSK/qp0Q==" spinCount="100000" sheet="1" selectLockedCells="1" selectUnlockedCells="1"/>
  <mergeCells count="29">
    <mergeCell ref="B4:B15"/>
    <mergeCell ref="B16:B18"/>
    <mergeCell ref="B19:B28"/>
    <mergeCell ref="C36:I36"/>
    <mergeCell ref="C98:I98"/>
    <mergeCell ref="C99:I99"/>
    <mergeCell ref="C66:I66"/>
    <mergeCell ref="C67:I67"/>
    <mergeCell ref="C68:I68"/>
    <mergeCell ref="C69:I69"/>
    <mergeCell ref="C62:I62"/>
    <mergeCell ref="C54:I54"/>
    <mergeCell ref="C53:I53"/>
    <mergeCell ref="C63:I63"/>
    <mergeCell ref="C64:I64"/>
    <mergeCell ref="C65:I65"/>
    <mergeCell ref="C55:I55"/>
    <mergeCell ref="C56:I56"/>
    <mergeCell ref="C57:I57"/>
    <mergeCell ref="C105:I105"/>
    <mergeCell ref="C51:I51"/>
    <mergeCell ref="C100:I100"/>
    <mergeCell ref="C101:I101"/>
    <mergeCell ref="C102:I102"/>
    <mergeCell ref="C103:I103"/>
    <mergeCell ref="C104:I104"/>
    <mergeCell ref="C58:I58"/>
    <mergeCell ref="C59:I59"/>
    <mergeCell ref="C60:I60"/>
  </mergeCells>
  <hyperlinks>
    <hyperlink ref="C53" r:id="rId1" display="https://legis.la.gov/Legis/Law.aspx?d=102399" xr:uid="{24D748DD-4E05-4DF0-900A-ED2C1A9C5985}"/>
    <hyperlink ref="C54" r:id="rId2" display="https://legis.la.gov/Legis/Law.aspx?d=102399" xr:uid="{AC9CE183-412A-4211-AF66-2E2C68AC4191}"/>
    <hyperlink ref="C63" r:id="rId3" display="https://legis.la.gov/Legis/Law.aspx?d=102399" xr:uid="{60455E10-D4D1-4FA1-AEF2-5C58DACBAD5E}"/>
    <hyperlink ref="C67" r:id="rId4" display="https://legis.la.gov/Legis/Law.aspx?d=102399" xr:uid="{98432C3E-25B8-41E6-AFA4-0692DA424B10}"/>
    <hyperlink ref="C98" r:id="rId5" display="https://legis.la.gov/Legis/Law.aspx?d=102399" xr:uid="{02A7026C-F1E3-4FC0-85A0-B3132CD02BD5}"/>
  </hyperlinks>
  <pageMargins left="0.7" right="0.7" top="0.75" bottom="0.75" header="0.3" footer="0.3"/>
  <pageSetup scale="67" orientation="portrait" horizontalDpi="1200" verticalDpi="1200" r:id="rId6"/>
  <headerFooter>
    <oddFooter>&amp;L&amp;F (&amp;D) / Pritchard &amp;&amp; Abbott, Inc. /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92"/>
  <sheetViews>
    <sheetView showGridLines="0" zoomScale="90" zoomScaleNormal="90" workbookViewId="0">
      <pane xSplit="3" ySplit="3" topLeftCell="D4" activePane="bottomRight" state="frozen"/>
      <selection pane="topRight" activeCell="C1" sqref="C1"/>
      <selection pane="bottomLeft" activeCell="A4" sqref="A4"/>
      <selection pane="bottomRight" activeCell="D4" sqref="D4"/>
    </sheetView>
  </sheetViews>
  <sheetFormatPr defaultColWidth="37.77734375" defaultRowHeight="14.4"/>
  <cols>
    <col min="1" max="1" width="2.77734375" customWidth="1"/>
    <col min="2" max="2" width="33.44140625" customWidth="1"/>
    <col min="3" max="3" width="45.21875" customWidth="1"/>
    <col min="4" max="4" width="37.77734375" style="84"/>
    <col min="5" max="5" width="2.77734375" customWidth="1"/>
  </cols>
  <sheetData>
    <row r="1" spans="2:4" ht="25.2" customHeight="1">
      <c r="B1" s="82" t="s">
        <v>2</v>
      </c>
      <c r="D1" s="83"/>
    </row>
    <row r="2" spans="2:4" ht="20" customHeight="1" thickBot="1">
      <c r="B2" s="82" t="s">
        <v>239</v>
      </c>
      <c r="D2" s="83"/>
    </row>
    <row r="3" spans="2:4" ht="15.75" thickTop="1" thickBot="1">
      <c r="C3" s="4"/>
      <c r="D3" s="180" t="s">
        <v>260</v>
      </c>
    </row>
    <row r="4" spans="2:4" ht="20.149999999999999" customHeight="1">
      <c r="B4" s="531" t="s">
        <v>28</v>
      </c>
      <c r="C4" s="160" t="s">
        <v>1</v>
      </c>
      <c r="D4" s="181">
        <v>2024</v>
      </c>
    </row>
    <row r="5" spans="2:4" ht="15.75">
      <c r="B5" s="532"/>
      <c r="C5" s="161" t="s">
        <v>102</v>
      </c>
      <c r="D5" s="182">
        <v>99999</v>
      </c>
    </row>
    <row r="6" spans="2:4" ht="16.2" customHeight="1">
      <c r="B6" s="532"/>
      <c r="C6" s="161" t="s">
        <v>103</v>
      </c>
      <c r="D6" s="182" t="s">
        <v>217</v>
      </c>
    </row>
    <row r="7" spans="2:4" ht="16.2" customHeight="1">
      <c r="B7" s="532"/>
      <c r="C7" s="161" t="s">
        <v>101</v>
      </c>
      <c r="D7" s="182">
        <v>999999</v>
      </c>
    </row>
    <row r="8" spans="2:4" ht="16.2" customHeight="1">
      <c r="B8" s="532"/>
      <c r="C8" s="162" t="s">
        <v>104</v>
      </c>
      <c r="D8" s="183">
        <v>9999999999</v>
      </c>
    </row>
    <row r="9" spans="2:4" ht="16.2" customHeight="1">
      <c r="B9" s="532"/>
      <c r="C9" s="162" t="s">
        <v>105</v>
      </c>
      <c r="D9" s="183">
        <v>99</v>
      </c>
    </row>
    <row r="10" spans="2:4" ht="16.2" customHeight="1">
      <c r="B10" s="532"/>
      <c r="C10" s="162" t="s">
        <v>11</v>
      </c>
      <c r="D10" s="183" t="s">
        <v>218</v>
      </c>
    </row>
    <row r="11" spans="2:4" ht="16.2" customHeight="1">
      <c r="B11" s="532"/>
      <c r="C11" s="161" t="s">
        <v>13</v>
      </c>
      <c r="D11" s="182" t="s">
        <v>219</v>
      </c>
    </row>
    <row r="12" spans="2:4" ht="16.2" customHeight="1">
      <c r="B12" s="532"/>
      <c r="C12" s="163" t="s">
        <v>175</v>
      </c>
      <c r="D12" s="184" t="s">
        <v>220</v>
      </c>
    </row>
    <row r="13" spans="2:4" ht="16.2" customHeight="1">
      <c r="B13" s="532"/>
      <c r="C13" s="163" t="s">
        <v>280</v>
      </c>
      <c r="D13" s="184" t="s">
        <v>279</v>
      </c>
    </row>
    <row r="14" spans="2:4" ht="16.2" customHeight="1">
      <c r="B14" s="532"/>
      <c r="C14" s="163" t="s">
        <v>176</v>
      </c>
      <c r="D14" s="184" t="s">
        <v>221</v>
      </c>
    </row>
    <row r="15" spans="2:4" ht="16.2" customHeight="1">
      <c r="B15" s="532"/>
      <c r="C15" s="163" t="s">
        <v>128</v>
      </c>
      <c r="D15" s="185">
        <v>0.75</v>
      </c>
    </row>
    <row r="16" spans="2:4" ht="16.2" customHeight="1">
      <c r="B16" s="532"/>
      <c r="C16" s="163" t="s">
        <v>232</v>
      </c>
      <c r="D16" s="186">
        <v>1</v>
      </c>
    </row>
    <row r="17" spans="2:4" ht="16.2" customHeight="1" thickBot="1">
      <c r="B17" s="533"/>
      <c r="C17" s="164" t="s">
        <v>110</v>
      </c>
      <c r="D17" s="187">
        <v>15854</v>
      </c>
    </row>
    <row r="18" spans="2:4" ht="20.3" customHeight="1" thickBot="1">
      <c r="B18" s="534" t="s">
        <v>259</v>
      </c>
      <c r="C18" s="165" t="s">
        <v>3</v>
      </c>
      <c r="D18" s="188">
        <v>100</v>
      </c>
    </row>
    <row r="19" spans="2:4" ht="16.2" customHeight="1" thickTop="1">
      <c r="B19" s="535"/>
      <c r="C19" s="166" t="s">
        <v>22</v>
      </c>
      <c r="D19" s="189">
        <v>0.5</v>
      </c>
    </row>
    <row r="20" spans="2:4" ht="16.2" customHeight="1">
      <c r="B20" s="535"/>
      <c r="C20" s="167" t="s">
        <v>23</v>
      </c>
      <c r="D20" s="184">
        <v>0.3</v>
      </c>
    </row>
    <row r="21" spans="2:4" ht="16.2" customHeight="1">
      <c r="B21" s="535"/>
      <c r="C21" s="167" t="s">
        <v>24</v>
      </c>
      <c r="D21" s="184">
        <v>0.2</v>
      </c>
    </row>
    <row r="22" spans="2:4" ht="16.2" customHeight="1">
      <c r="B22" s="535"/>
      <c r="C22" s="167" t="s">
        <v>230</v>
      </c>
      <c r="D22" s="184">
        <v>0.15</v>
      </c>
    </row>
    <row r="23" spans="2:4" ht="16.2" customHeight="1" thickBot="1">
      <c r="B23" s="535"/>
      <c r="C23" s="168" t="s">
        <v>231</v>
      </c>
      <c r="D23" s="190">
        <v>0.1</v>
      </c>
    </row>
    <row r="24" spans="2:4" ht="16.2" customHeight="1" thickTop="1">
      <c r="B24" s="535"/>
      <c r="C24" s="166" t="s">
        <v>116</v>
      </c>
      <c r="D24" s="183">
        <v>1</v>
      </c>
    </row>
    <row r="25" spans="2:4" ht="16.2" customHeight="1">
      <c r="B25" s="535"/>
      <c r="C25" s="167" t="s">
        <v>117</v>
      </c>
      <c r="D25" s="182">
        <v>1</v>
      </c>
    </row>
    <row r="26" spans="2:4" ht="16.2" customHeight="1">
      <c r="B26" s="535"/>
      <c r="C26" s="167" t="s">
        <v>118</v>
      </c>
      <c r="D26" s="182">
        <v>1</v>
      </c>
    </row>
    <row r="27" spans="2:4" ht="16.2" customHeight="1">
      <c r="B27" s="535"/>
      <c r="C27" s="167" t="s">
        <v>233</v>
      </c>
      <c r="D27" s="182">
        <v>1</v>
      </c>
    </row>
    <row r="28" spans="2:4" ht="16.2" customHeight="1" thickBot="1">
      <c r="B28" s="536"/>
      <c r="C28" s="168" t="s">
        <v>234</v>
      </c>
      <c r="D28" s="323">
        <v>99</v>
      </c>
    </row>
    <row r="29" spans="2:4" ht="16.399999999999999" customHeight="1" thickTop="1">
      <c r="B29" s="543" t="s">
        <v>289</v>
      </c>
      <c r="C29" s="324" t="s">
        <v>278</v>
      </c>
      <c r="D29" s="331" t="s">
        <v>279</v>
      </c>
    </row>
    <row r="30" spans="2:4" ht="16.399999999999999" customHeight="1">
      <c r="B30" s="535"/>
      <c r="C30" s="167" t="s">
        <v>264</v>
      </c>
      <c r="D30" s="410">
        <v>100</v>
      </c>
    </row>
    <row r="31" spans="2:4" ht="16.2" customHeight="1">
      <c r="B31" s="535"/>
      <c r="C31" s="167" t="s">
        <v>258</v>
      </c>
      <c r="D31" s="182" t="s">
        <v>257</v>
      </c>
    </row>
    <row r="32" spans="2:4" ht="16.2" customHeight="1">
      <c r="B32" s="535"/>
      <c r="C32" s="167" t="s">
        <v>261</v>
      </c>
      <c r="D32" s="184">
        <v>0.5</v>
      </c>
    </row>
    <row r="33" spans="2:4" ht="16.2" customHeight="1">
      <c r="B33" s="535"/>
      <c r="C33" s="325" t="s">
        <v>288</v>
      </c>
      <c r="D33" s="326">
        <v>1.2</v>
      </c>
    </row>
    <row r="34" spans="2:4" ht="16.2" customHeight="1" thickBot="1">
      <c r="B34" s="544"/>
      <c r="C34" s="169" t="s">
        <v>262</v>
      </c>
      <c r="D34" s="327">
        <v>0.1</v>
      </c>
    </row>
    <row r="35" spans="2:4" ht="20.149999999999999" customHeight="1" thickBot="1">
      <c r="B35" s="537" t="s">
        <v>29</v>
      </c>
      <c r="C35" s="170" t="s">
        <v>4</v>
      </c>
      <c r="D35" s="192">
        <v>1000</v>
      </c>
    </row>
    <row r="36" spans="2:4" ht="16.2" customHeight="1" thickTop="1">
      <c r="B36" s="538"/>
      <c r="C36" s="171" t="s">
        <v>25</v>
      </c>
      <c r="D36" s="193">
        <v>0.6</v>
      </c>
    </row>
    <row r="37" spans="2:4" ht="16.2" customHeight="1">
      <c r="B37" s="538"/>
      <c r="C37" s="172" t="s">
        <v>26</v>
      </c>
      <c r="D37" s="194">
        <v>0.4</v>
      </c>
    </row>
    <row r="38" spans="2:4" ht="16.2" customHeight="1">
      <c r="B38" s="538"/>
      <c r="C38" s="172" t="s">
        <v>27</v>
      </c>
      <c r="D38" s="194">
        <v>0.3</v>
      </c>
    </row>
    <row r="39" spans="2:4" ht="16.2" customHeight="1">
      <c r="B39" s="538"/>
      <c r="C39" s="172" t="s">
        <v>235</v>
      </c>
      <c r="D39" s="194">
        <v>0.2</v>
      </c>
    </row>
    <row r="40" spans="2:4" ht="16.2" customHeight="1" thickBot="1">
      <c r="B40" s="538"/>
      <c r="C40" s="173" t="s">
        <v>236</v>
      </c>
      <c r="D40" s="195">
        <v>0.15</v>
      </c>
    </row>
    <row r="41" spans="2:4" ht="16.2" customHeight="1" thickTop="1">
      <c r="B41" s="538"/>
      <c r="C41" s="171" t="s">
        <v>119</v>
      </c>
      <c r="D41" s="183">
        <v>1</v>
      </c>
    </row>
    <row r="42" spans="2:4" ht="16.2" customHeight="1">
      <c r="B42" s="538"/>
      <c r="C42" s="172" t="s">
        <v>120</v>
      </c>
      <c r="D42" s="182">
        <v>1</v>
      </c>
    </row>
    <row r="43" spans="2:4" ht="16.2" customHeight="1">
      <c r="B43" s="538"/>
      <c r="C43" s="172" t="s">
        <v>121</v>
      </c>
      <c r="D43" s="182">
        <v>1</v>
      </c>
    </row>
    <row r="44" spans="2:4" ht="16.2" customHeight="1">
      <c r="B44" s="538"/>
      <c r="C44" s="172" t="s">
        <v>237</v>
      </c>
      <c r="D44" s="182">
        <v>1</v>
      </c>
    </row>
    <row r="45" spans="2:4" ht="16.2" customHeight="1" thickBot="1">
      <c r="B45" s="539"/>
      <c r="C45" s="173" t="s">
        <v>238</v>
      </c>
      <c r="D45" s="323">
        <v>99</v>
      </c>
    </row>
    <row r="46" spans="2:4" ht="16.2" customHeight="1" thickTop="1">
      <c r="B46" s="545" t="s">
        <v>289</v>
      </c>
      <c r="C46" s="417" t="s">
        <v>278</v>
      </c>
      <c r="D46" s="183" t="s">
        <v>279</v>
      </c>
    </row>
    <row r="47" spans="2:4" ht="16.2" customHeight="1">
      <c r="B47" s="538"/>
      <c r="C47" s="328" t="s">
        <v>263</v>
      </c>
      <c r="D47" s="182">
        <v>1000</v>
      </c>
    </row>
    <row r="48" spans="2:4" ht="16.2" customHeight="1">
      <c r="B48" s="538"/>
      <c r="C48" s="328" t="s">
        <v>258</v>
      </c>
      <c r="D48" s="182" t="s">
        <v>257</v>
      </c>
    </row>
    <row r="49" spans="2:4" ht="16.2" customHeight="1">
      <c r="B49" s="538"/>
      <c r="C49" s="328" t="s">
        <v>261</v>
      </c>
      <c r="D49" s="184">
        <v>0.65</v>
      </c>
    </row>
    <row r="50" spans="2:4" ht="16.2" customHeight="1">
      <c r="B50" s="538"/>
      <c r="C50" s="329" t="s">
        <v>288</v>
      </c>
      <c r="D50" s="326">
        <v>1</v>
      </c>
    </row>
    <row r="51" spans="2:4" ht="16.2" customHeight="1" thickBot="1">
      <c r="B51" s="539"/>
      <c r="C51" s="330" t="s">
        <v>262</v>
      </c>
      <c r="D51" s="327">
        <v>0.15</v>
      </c>
    </row>
    <row r="52" spans="2:4" ht="20.149999999999999" customHeight="1">
      <c r="B52" s="531" t="s">
        <v>30</v>
      </c>
      <c r="C52" s="160" t="s">
        <v>133</v>
      </c>
      <c r="D52" s="196">
        <v>80</v>
      </c>
    </row>
    <row r="53" spans="2:4" ht="16.2" customHeight="1">
      <c r="B53" s="532"/>
      <c r="C53" s="163" t="s">
        <v>134</v>
      </c>
      <c r="D53" s="197">
        <v>3</v>
      </c>
    </row>
    <row r="54" spans="2:4" ht="16.2" customHeight="1">
      <c r="B54" s="532"/>
      <c r="C54" s="163" t="s">
        <v>6</v>
      </c>
      <c r="D54" s="198">
        <v>0.1</v>
      </c>
    </row>
    <row r="55" spans="2:4" ht="16.2" customHeight="1">
      <c r="B55" s="532"/>
      <c r="C55" s="163" t="s">
        <v>7</v>
      </c>
      <c r="D55" s="198">
        <v>0.05</v>
      </c>
    </row>
    <row r="56" spans="2:4" ht="16.2" customHeight="1" thickBot="1">
      <c r="B56" s="533"/>
      <c r="C56" s="164" t="s">
        <v>5</v>
      </c>
      <c r="D56" s="199">
        <v>0.05</v>
      </c>
    </row>
    <row r="57" spans="2:4" ht="20.149999999999999" customHeight="1" thickBot="1">
      <c r="B57" s="540" t="s">
        <v>90</v>
      </c>
      <c r="C57" s="174" t="s">
        <v>65</v>
      </c>
      <c r="D57" s="200">
        <v>200000</v>
      </c>
    </row>
    <row r="58" spans="2:4" ht="16.2" customHeight="1" thickTop="1">
      <c r="B58" s="541"/>
      <c r="C58" s="175" t="s">
        <v>91</v>
      </c>
      <c r="D58" s="201">
        <v>50000</v>
      </c>
    </row>
    <row r="59" spans="2:4" ht="16.2" customHeight="1">
      <c r="B59" s="541"/>
      <c r="C59" s="176" t="s">
        <v>92</v>
      </c>
      <c r="D59" s="202">
        <v>0</v>
      </c>
    </row>
    <row r="60" spans="2:4" ht="16.2" customHeight="1">
      <c r="B60" s="541"/>
      <c r="C60" s="176" t="s">
        <v>93</v>
      </c>
      <c r="D60" s="202">
        <v>0</v>
      </c>
    </row>
    <row r="61" spans="2:4" ht="16.2" customHeight="1">
      <c r="B61" s="541"/>
      <c r="C61" s="176" t="s">
        <v>94</v>
      </c>
      <c r="D61" s="202">
        <v>0</v>
      </c>
    </row>
    <row r="62" spans="2:4" ht="16.2" customHeight="1">
      <c r="B62" s="541"/>
      <c r="C62" s="176" t="s">
        <v>95</v>
      </c>
      <c r="D62" s="202">
        <v>0</v>
      </c>
    </row>
    <row r="63" spans="2:4" ht="16.2" customHeight="1">
      <c r="B63" s="541"/>
      <c r="C63" s="176" t="s">
        <v>96</v>
      </c>
      <c r="D63" s="202">
        <v>0</v>
      </c>
    </row>
    <row r="64" spans="2:4" ht="16.2" customHeight="1">
      <c r="B64" s="541"/>
      <c r="C64" s="176" t="s">
        <v>97</v>
      </c>
      <c r="D64" s="202">
        <v>0</v>
      </c>
    </row>
    <row r="65" spans="2:4" ht="16.2" customHeight="1">
      <c r="B65" s="541"/>
      <c r="C65" s="176" t="s">
        <v>98</v>
      </c>
      <c r="D65" s="202">
        <v>0</v>
      </c>
    </row>
    <row r="66" spans="2:4" ht="16.2" customHeight="1">
      <c r="B66" s="541"/>
      <c r="C66" s="176" t="s">
        <v>99</v>
      </c>
      <c r="D66" s="202">
        <v>0</v>
      </c>
    </row>
    <row r="67" spans="2:4" ht="16.2" customHeight="1" thickBot="1">
      <c r="B67" s="541"/>
      <c r="C67" s="177" t="s">
        <v>100</v>
      </c>
      <c r="D67" s="203">
        <v>0</v>
      </c>
    </row>
    <row r="68" spans="2:4" ht="16.2" customHeight="1" thickTop="1">
      <c r="B68" s="541"/>
      <c r="C68" s="176" t="s">
        <v>135</v>
      </c>
      <c r="D68" s="182">
        <v>1</v>
      </c>
    </row>
    <row r="69" spans="2:4" ht="16.2" customHeight="1">
      <c r="B69" s="541"/>
      <c r="C69" s="176" t="s">
        <v>136</v>
      </c>
      <c r="D69" s="182">
        <v>0</v>
      </c>
    </row>
    <row r="70" spans="2:4" ht="16.2" customHeight="1">
      <c r="B70" s="541"/>
      <c r="C70" s="176" t="s">
        <v>137</v>
      </c>
      <c r="D70" s="182">
        <v>0</v>
      </c>
    </row>
    <row r="71" spans="2:4" ht="16.2" customHeight="1">
      <c r="B71" s="541"/>
      <c r="C71" s="176" t="s">
        <v>138</v>
      </c>
      <c r="D71" s="182">
        <v>0</v>
      </c>
    </row>
    <row r="72" spans="2:4" ht="16.2" customHeight="1">
      <c r="B72" s="541"/>
      <c r="C72" s="176" t="s">
        <v>139</v>
      </c>
      <c r="D72" s="182">
        <v>0</v>
      </c>
    </row>
    <row r="73" spans="2:4" ht="16.2" customHeight="1">
      <c r="B73" s="541"/>
      <c r="C73" s="176" t="s">
        <v>140</v>
      </c>
      <c r="D73" s="182">
        <v>0</v>
      </c>
    </row>
    <row r="74" spans="2:4" ht="16.2" customHeight="1">
      <c r="B74" s="541"/>
      <c r="C74" s="176" t="s">
        <v>144</v>
      </c>
      <c r="D74" s="182">
        <v>0</v>
      </c>
    </row>
    <row r="75" spans="2:4" ht="16.2" customHeight="1">
      <c r="B75" s="541"/>
      <c r="C75" s="176" t="s">
        <v>141</v>
      </c>
      <c r="D75" s="182">
        <v>0</v>
      </c>
    </row>
    <row r="76" spans="2:4" ht="16.2" customHeight="1">
      <c r="B76" s="541"/>
      <c r="C76" s="176" t="s">
        <v>142</v>
      </c>
      <c r="D76" s="182">
        <v>0</v>
      </c>
    </row>
    <row r="77" spans="2:4" ht="16.2" customHeight="1" thickBot="1">
      <c r="B77" s="542"/>
      <c r="C77" s="176" t="s">
        <v>143</v>
      </c>
      <c r="D77" s="191">
        <v>0</v>
      </c>
    </row>
    <row r="78" spans="2:4" ht="20.149999999999999" customHeight="1">
      <c r="B78" s="528" t="s">
        <v>67</v>
      </c>
      <c r="C78" s="178" t="s">
        <v>122</v>
      </c>
      <c r="D78" s="186"/>
    </row>
    <row r="79" spans="2:4" ht="16.2" customHeight="1">
      <c r="B79" s="529"/>
      <c r="C79" s="161" t="s">
        <v>123</v>
      </c>
      <c r="D79" s="186"/>
    </row>
    <row r="80" spans="2:4" ht="16.2" customHeight="1" thickBot="1">
      <c r="B80" s="530"/>
      <c r="C80" s="179" t="s">
        <v>124</v>
      </c>
      <c r="D80" s="204"/>
    </row>
    <row r="82" spans="1:5" ht="15.05" thickBot="1">
      <c r="A82" s="205"/>
      <c r="B82" s="205"/>
      <c r="C82" s="205"/>
      <c r="D82" s="206"/>
      <c r="E82" s="205"/>
    </row>
    <row r="83" spans="1:5" ht="15.75">
      <c r="A83" s="205"/>
      <c r="B83" s="525" t="s">
        <v>89</v>
      </c>
      <c r="C83" s="102" t="s">
        <v>68</v>
      </c>
      <c r="D83" s="154">
        <f>ROUND(+REPORT!Q38,-1)</f>
        <v>3206730</v>
      </c>
      <c r="E83" s="205"/>
    </row>
    <row r="84" spans="1:5" ht="15.75">
      <c r="A84" s="205"/>
      <c r="B84" s="526"/>
      <c r="C84" s="103" t="s">
        <v>145</v>
      </c>
      <c r="D84" s="155">
        <f>+REPORT!Q41</f>
        <v>10829.313636240364</v>
      </c>
      <c r="E84" s="205"/>
    </row>
    <row r="85" spans="1:5" ht="15.75">
      <c r="A85" s="205"/>
      <c r="B85" s="526"/>
      <c r="C85" s="103" t="s">
        <v>69</v>
      </c>
      <c r="D85" s="155">
        <f>+REPORT!Q42</f>
        <v>3206730</v>
      </c>
      <c r="E85" s="205"/>
    </row>
    <row r="86" spans="1:5" ht="15.75">
      <c r="A86" s="205"/>
      <c r="B86" s="526"/>
      <c r="C86" s="103" t="s">
        <v>85</v>
      </c>
      <c r="D86" s="156">
        <f>+REPORT!D38</f>
        <v>112411.09980511499</v>
      </c>
      <c r="E86" s="205"/>
    </row>
    <row r="87" spans="1:5" ht="15.75">
      <c r="A87" s="205"/>
      <c r="B87" s="526"/>
      <c r="C87" s="103" t="s">
        <v>86</v>
      </c>
      <c r="D87" s="156">
        <f>+REPORT!H38</f>
        <v>703754.84751884406</v>
      </c>
      <c r="E87" s="205"/>
    </row>
    <row r="88" spans="1:5" ht="15.75">
      <c r="A88" s="205"/>
      <c r="B88" s="526"/>
      <c r="C88" s="103" t="s">
        <v>77</v>
      </c>
      <c r="D88" s="156">
        <f>COUNT(REPORT!A13:A37)</f>
        <v>13</v>
      </c>
      <c r="E88" s="205"/>
    </row>
    <row r="89" spans="1:5" ht="15.75">
      <c r="A89" s="205"/>
      <c r="B89" s="526"/>
      <c r="C89" s="157" t="s">
        <v>147</v>
      </c>
      <c r="D89" s="158">
        <f>+REPORT!K42</f>
        <v>0.36302042577221472</v>
      </c>
      <c r="E89" s="205"/>
    </row>
    <row r="90" spans="1:5" ht="16.399999999999999" thickBot="1">
      <c r="A90" s="205"/>
      <c r="B90" s="527"/>
      <c r="C90" s="104" t="s">
        <v>78</v>
      </c>
      <c r="D90" s="159">
        <f>+REPORT!V38</f>
        <v>3.77135910717187</v>
      </c>
      <c r="E90" s="205"/>
    </row>
    <row r="91" spans="1:5">
      <c r="A91" s="205"/>
      <c r="B91" s="205"/>
      <c r="C91" s="205"/>
      <c r="D91" s="207"/>
      <c r="E91" s="205"/>
    </row>
    <row r="92" spans="1:5">
      <c r="D92" s="153"/>
    </row>
  </sheetData>
  <sheetProtection algorithmName="SHA-512" hashValue="psqm74dan3sc+IisIfatD+ixhmaP56dcAdVyBtoM8KScJUbVLSnTMIeWzqbhbrWxc2gcGSmf0lzQCH7EDcQZSw==" saltValue="x951JCrDyk6/BSTG7AKBgQ==" spinCount="100000" sheet="1" selectLockedCells="1"/>
  <mergeCells count="9">
    <mergeCell ref="B83:B90"/>
    <mergeCell ref="B78:B80"/>
    <mergeCell ref="B4:B17"/>
    <mergeCell ref="B18:B28"/>
    <mergeCell ref="B35:B45"/>
    <mergeCell ref="B52:B56"/>
    <mergeCell ref="B57:B77"/>
    <mergeCell ref="B29:B34"/>
    <mergeCell ref="B46:B51"/>
  </mergeCells>
  <printOptions horizontalCentered="1"/>
  <pageMargins left="0.3" right="0.3" top="0.3" bottom="0.35" header="0.1" footer="0.1"/>
  <pageSetup scale="64" orientation="portrait" r:id="rId1"/>
  <headerFooter>
    <oddFooter>&amp;L&amp;9&amp;F (&amp;D) / Pritchard &amp;&amp; Abbott, Inc. /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774AD-5278-485E-9C2B-986CFA308384}">
  <sheetPr>
    <tabColor rgb="FF0000FF"/>
    <pageSetUpPr fitToPage="1"/>
  </sheetPr>
  <dimension ref="A1:AW437"/>
  <sheetViews>
    <sheetView zoomScale="90" zoomScaleNormal="90" workbookViewId="0">
      <selection sqref="A1:Q1"/>
    </sheetView>
  </sheetViews>
  <sheetFormatPr defaultRowHeight="14.4"/>
  <cols>
    <col min="1" max="1" width="4.77734375" customWidth="1"/>
    <col min="2" max="2" width="8.77734375" customWidth="1"/>
    <col min="3" max="3" width="10.77734375" customWidth="1"/>
    <col min="4" max="4" width="13.77734375" bestFit="1" customWidth="1"/>
    <col min="5" max="5" width="9.77734375" customWidth="1"/>
    <col min="6" max="6" width="17.77734375" bestFit="1" customWidth="1"/>
    <col min="7" max="7" width="10.77734375" customWidth="1"/>
    <col min="8" max="8" width="14.77734375" customWidth="1"/>
    <col min="9" max="9" width="9.77734375" customWidth="1"/>
    <col min="10" max="10" width="18.77734375" customWidth="1"/>
    <col min="11" max="11" width="17.77734375" bestFit="1" customWidth="1"/>
    <col min="12" max="14" width="14.33203125" customWidth="1"/>
    <col min="15" max="15" width="17.77734375" bestFit="1" customWidth="1"/>
    <col min="16" max="16" width="9.88671875" customWidth="1"/>
    <col min="17" max="17" width="18.44140625" bestFit="1" customWidth="1"/>
    <col min="18" max="20" width="2.77734375" customWidth="1"/>
    <col min="21" max="21" width="8.33203125" customWidth="1"/>
    <col min="22" max="22" width="18.5546875" customWidth="1"/>
    <col min="23" max="23" width="12.44140625" customWidth="1"/>
    <col min="24" max="24" width="13.109375" customWidth="1"/>
    <col min="25" max="25" width="12.5546875" customWidth="1"/>
    <col min="26" max="26" width="17.21875" bestFit="1" customWidth="1"/>
    <col min="27" max="27" width="11.44140625" bestFit="1" customWidth="1"/>
    <col min="28" max="28" width="10.5546875" customWidth="1"/>
    <col min="29" max="29" width="4.109375" bestFit="1" customWidth="1"/>
    <col min="30" max="30" width="5.109375" customWidth="1"/>
    <col min="31" max="32" width="12.77734375" customWidth="1"/>
    <col min="33" max="35" width="2.77734375" customWidth="1"/>
    <col min="36" max="36" width="8.33203125" customWidth="1"/>
    <col min="37" max="37" width="18.5546875" customWidth="1"/>
    <col min="38" max="38" width="12.44140625" customWidth="1"/>
    <col min="39" max="39" width="13.109375" customWidth="1"/>
    <col min="40" max="40" width="12.5546875" customWidth="1"/>
    <col min="41" max="41" width="17.21875" bestFit="1" customWidth="1"/>
    <col min="42" max="42" width="11.44140625" bestFit="1" customWidth="1"/>
    <col min="43" max="43" width="10.5546875" customWidth="1"/>
    <col min="44" max="44" width="4.109375" bestFit="1" customWidth="1"/>
    <col min="45" max="45" width="5.109375" customWidth="1"/>
    <col min="46" max="47" width="12.77734375" customWidth="1"/>
    <col min="48" max="49" width="2.77734375" customWidth="1"/>
  </cols>
  <sheetData>
    <row r="1" spans="1:19" ht="25.05" customHeight="1">
      <c r="A1" s="563" t="s">
        <v>2</v>
      </c>
      <c r="B1" s="563"/>
      <c r="C1" s="563"/>
      <c r="D1" s="563"/>
      <c r="E1" s="563"/>
      <c r="F1" s="563"/>
      <c r="G1" s="563"/>
      <c r="H1" s="563"/>
      <c r="I1" s="563"/>
      <c r="J1" s="563"/>
      <c r="K1" s="563"/>
      <c r="L1" s="563"/>
      <c r="M1" s="563"/>
      <c r="N1" s="563"/>
      <c r="O1" s="563"/>
      <c r="P1" s="563"/>
      <c r="Q1" s="563"/>
      <c r="S1" s="321"/>
    </row>
    <row r="2" spans="1:19" ht="20" customHeight="1">
      <c r="A2" s="563" t="s">
        <v>130</v>
      </c>
      <c r="B2" s="563"/>
      <c r="C2" s="563"/>
      <c r="D2" s="563"/>
      <c r="E2" s="563"/>
      <c r="F2" s="563"/>
      <c r="G2" s="563"/>
      <c r="H2" s="563"/>
      <c r="I2" s="563"/>
      <c r="J2" s="563"/>
      <c r="K2" s="563"/>
      <c r="L2" s="563"/>
      <c r="M2" s="563"/>
      <c r="N2" s="563"/>
      <c r="O2" s="563"/>
      <c r="P2" s="563"/>
      <c r="Q2" s="563"/>
      <c r="S2" s="321"/>
    </row>
    <row r="3" spans="1:19" ht="15.05" customHeight="1">
      <c r="A3" s="240"/>
      <c r="B3" s="240"/>
      <c r="C3" s="240"/>
      <c r="D3" s="240"/>
      <c r="E3" s="240"/>
      <c r="F3" s="240"/>
      <c r="G3" s="240"/>
      <c r="H3" s="240"/>
      <c r="I3" s="240"/>
      <c r="J3" s="240"/>
      <c r="K3" s="240"/>
      <c r="L3" s="240"/>
      <c r="M3" s="240"/>
      <c r="N3" s="240"/>
      <c r="O3" s="240"/>
      <c r="P3" s="240"/>
      <c r="Q3" s="240"/>
      <c r="S3" s="321"/>
    </row>
    <row r="4" spans="1:19" ht="15.05" customHeight="1">
      <c r="A4" s="240"/>
      <c r="B4" s="240"/>
      <c r="C4" s="240"/>
      <c r="D4" s="240"/>
      <c r="E4" s="240"/>
      <c r="F4" s="240"/>
      <c r="G4" s="240"/>
      <c r="H4" s="240"/>
      <c r="I4" s="240"/>
      <c r="J4" s="240"/>
      <c r="K4" s="240"/>
      <c r="L4" s="240"/>
      <c r="M4" s="240"/>
      <c r="N4" s="240"/>
      <c r="S4" s="321"/>
    </row>
    <row r="5" spans="1:19" ht="15.05" customHeight="1">
      <c r="A5" s="240"/>
      <c r="B5" s="241" t="s">
        <v>1</v>
      </c>
      <c r="C5" s="242"/>
      <c r="D5" s="243">
        <f>+'PROPERTY DATA'!D4</f>
        <v>2024</v>
      </c>
      <c r="E5" s="242"/>
      <c r="F5" s="242" t="s">
        <v>11</v>
      </c>
      <c r="G5" s="243" t="str">
        <f>+'PROPERTY DATA'!D10</f>
        <v>EXAMPLE LEASE</v>
      </c>
      <c r="H5" s="242"/>
      <c r="I5" s="242"/>
      <c r="J5" s="246" t="s">
        <v>127</v>
      </c>
      <c r="K5" s="244">
        <f>+'PROPERTY DATA'!D15</f>
        <v>0.75</v>
      </c>
      <c r="L5" s="242" t="s">
        <v>131</v>
      </c>
      <c r="M5" s="242"/>
      <c r="N5" s="245">
        <f>IF('PROPERTY DATA'!D29="Y",+'PROPERTY DATA'!D30,+'PROPERTY DATA'!D18)</f>
        <v>100</v>
      </c>
      <c r="O5" s="246" t="s">
        <v>125</v>
      </c>
      <c r="P5" s="242"/>
      <c r="Q5" s="247" t="str">
        <f>IF(+'PROPERTY DATA'!D78=0,"N/A",+'PROPERTY DATA'!D78)</f>
        <v>N/A</v>
      </c>
      <c r="S5" s="321"/>
    </row>
    <row r="6" spans="1:19" ht="15.05" customHeight="1">
      <c r="A6" s="240"/>
      <c r="B6" s="241" t="s">
        <v>102</v>
      </c>
      <c r="C6" s="242"/>
      <c r="D6" s="243">
        <f>+'PROPERTY DATA'!D5</f>
        <v>99999</v>
      </c>
      <c r="E6" s="242"/>
      <c r="F6" s="242" t="s">
        <v>13</v>
      </c>
      <c r="G6" s="243" t="str">
        <f>+'PROPERTY DATA'!D11</f>
        <v>EXAMPLE OPERATOR</v>
      </c>
      <c r="H6" s="242"/>
      <c r="I6" s="242"/>
      <c r="J6" s="246" t="s">
        <v>112</v>
      </c>
      <c r="K6" s="247">
        <f>+'PROPERTY DATA'!D16</f>
        <v>1</v>
      </c>
      <c r="L6" s="242" t="s">
        <v>132</v>
      </c>
      <c r="M6" s="242"/>
      <c r="N6" s="247">
        <f>IF('PROPERTY DATA'!D46="Y",+'PROPERTY DATA'!D47,+'PROPERTY DATA'!D35)</f>
        <v>1000</v>
      </c>
      <c r="O6" s="246" t="s">
        <v>126</v>
      </c>
      <c r="P6" s="242"/>
      <c r="Q6" s="247" t="str">
        <f>IF(+'PROPERTY DATA'!D79=0,"N/A",+'PROPERTY DATA'!D79)</f>
        <v>N/A</v>
      </c>
      <c r="S6" s="321"/>
    </row>
    <row r="7" spans="1:19" ht="15.05" customHeight="1">
      <c r="A7" s="240"/>
      <c r="B7" s="241" t="s">
        <v>103</v>
      </c>
      <c r="C7" s="242"/>
      <c r="D7" s="243" t="str">
        <f>+'PROPERTY DATA'!D6</f>
        <v>9999/99-55</v>
      </c>
      <c r="E7" s="242"/>
      <c r="F7" s="242" t="s">
        <v>129</v>
      </c>
      <c r="G7" s="243" t="str">
        <f>+'PROPERTY DATA'!D12</f>
        <v>OIL</v>
      </c>
      <c r="H7" s="242"/>
      <c r="I7" s="242"/>
      <c r="J7" s="246" t="s">
        <v>111</v>
      </c>
      <c r="K7" s="247">
        <f>+'PROPERTY DATA'!D17</f>
        <v>15854</v>
      </c>
      <c r="L7" s="350" t="s">
        <v>276</v>
      </c>
      <c r="N7" s="409" t="str">
        <f>IF(AND($G$7="oil",'PROPERTY DATA'!$D$29="Y"),+'PROPERTY DATA'!D32,IF(AND($G$7="GAS",'PROPERTY DATA'!$D$46="Y"),+'PROPERTY DATA'!D49,"N/A"))</f>
        <v>N/A</v>
      </c>
      <c r="O7" s="246" t="s">
        <v>124</v>
      </c>
      <c r="P7" s="242"/>
      <c r="Q7" s="247" t="str">
        <f>IF(+'PROPERTY DATA'!D80=0,"N/A",+'PROPERTY DATA'!D80)</f>
        <v>N/A</v>
      </c>
      <c r="S7" s="321"/>
    </row>
    <row r="8" spans="1:19" ht="15.05" customHeight="1">
      <c r="A8" s="240"/>
      <c r="B8" s="241" t="s">
        <v>101</v>
      </c>
      <c r="C8" s="242"/>
      <c r="D8" s="243">
        <f>+'PROPERTY DATA'!D7</f>
        <v>999999</v>
      </c>
      <c r="E8" s="242"/>
      <c r="F8" s="242" t="s">
        <v>109</v>
      </c>
      <c r="G8" s="243" t="str">
        <f>IF('PROPERTY DATA'!D13="Y","YES","NO")</f>
        <v>NO</v>
      </c>
      <c r="H8" s="242"/>
      <c r="I8" s="335" t="s">
        <v>290</v>
      </c>
      <c r="J8" s="242"/>
      <c r="K8" s="248">
        <f>+'PROPERTY DATA'!D52</f>
        <v>80</v>
      </c>
      <c r="L8" s="408" t="s">
        <v>288</v>
      </c>
      <c r="N8" s="411" t="str">
        <f>IF(AND($G$7="oil",'PROPERTY DATA'!$D$29="Y"),+'PROPERTY DATA'!D33,IF(AND($G$7="GAS",'PROPERTY DATA'!$D$46="Y"),+'PROPERTY DATA'!D50,"N/A"))</f>
        <v>N/A</v>
      </c>
      <c r="P8" s="242"/>
      <c r="Q8" s="242"/>
      <c r="S8" s="321"/>
    </row>
    <row r="9" spans="1:19" ht="15.05" customHeight="1">
      <c r="A9" s="240"/>
      <c r="B9" s="241" t="s">
        <v>104</v>
      </c>
      <c r="C9" s="242"/>
      <c r="D9" s="243">
        <f>+'PROPERTY DATA'!D8</f>
        <v>9999999999</v>
      </c>
      <c r="E9" s="242"/>
      <c r="F9" s="242" t="s">
        <v>21</v>
      </c>
      <c r="G9" s="243" t="str">
        <f>+'PROPERTY DATA'!D14</f>
        <v>ONSHORE</v>
      </c>
      <c r="H9" s="242"/>
      <c r="I9" s="335" t="s">
        <v>291</v>
      </c>
      <c r="J9" s="242"/>
      <c r="K9" s="248">
        <f>+'PROPERTY DATA'!D53</f>
        <v>3</v>
      </c>
      <c r="L9" s="349" t="s">
        <v>277</v>
      </c>
      <c r="N9" s="409" t="str">
        <f>IF(AND($G$7="oil",'PROPERTY DATA'!$D$29="Y"),+'PROPERTY DATA'!D34,IF(AND($G$7="GAS",'PROPERTY DATA'!$D$46="Y"),+'PROPERTY DATA'!D51,"N/A"))</f>
        <v>N/A</v>
      </c>
      <c r="P9" s="242"/>
      <c r="Q9" s="242"/>
      <c r="S9" s="321"/>
    </row>
    <row r="10" spans="1:19" ht="15.05" customHeight="1" thickBot="1">
      <c r="A10" s="240"/>
      <c r="B10" s="240"/>
      <c r="C10" s="240"/>
      <c r="D10" s="240"/>
      <c r="E10" s="240"/>
      <c r="F10" s="240"/>
      <c r="G10" s="240"/>
      <c r="H10" s="240"/>
      <c r="I10" s="240"/>
      <c r="J10" s="240"/>
      <c r="K10" s="240"/>
      <c r="L10" s="240"/>
      <c r="M10" s="240"/>
      <c r="N10" s="240"/>
      <c r="O10" s="240"/>
      <c r="P10" s="240"/>
      <c r="Q10" s="240"/>
      <c r="S10" s="321"/>
    </row>
    <row r="11" spans="1:19" ht="17.2" customHeight="1" thickBot="1">
      <c r="A11" s="240"/>
      <c r="B11" s="240"/>
      <c r="C11" s="564" t="s">
        <v>114</v>
      </c>
      <c r="D11" s="565"/>
      <c r="E11" s="565"/>
      <c r="F11" s="566"/>
      <c r="G11" s="567" t="s">
        <v>115</v>
      </c>
      <c r="H11" s="568"/>
      <c r="I11" s="568"/>
      <c r="J11" s="569"/>
      <c r="K11" s="249"/>
      <c r="L11" s="570" t="s">
        <v>88</v>
      </c>
      <c r="M11" s="571"/>
      <c r="N11" s="572"/>
      <c r="O11" s="249"/>
      <c r="P11" s="573" t="s">
        <v>113</v>
      </c>
      <c r="Q11" s="574"/>
      <c r="S11" s="321"/>
    </row>
    <row r="12" spans="1:19" ht="45" customHeight="1" thickBot="1">
      <c r="A12" s="250"/>
      <c r="B12" s="251" t="s">
        <v>20</v>
      </c>
      <c r="C12" s="252" t="s">
        <v>9</v>
      </c>
      <c r="D12" s="253" t="s">
        <v>15</v>
      </c>
      <c r="E12" s="253" t="s">
        <v>16</v>
      </c>
      <c r="F12" s="254" t="s">
        <v>46</v>
      </c>
      <c r="G12" s="252" t="s">
        <v>8</v>
      </c>
      <c r="H12" s="253" t="s">
        <v>51</v>
      </c>
      <c r="I12" s="253" t="s">
        <v>50</v>
      </c>
      <c r="J12" s="254" t="s">
        <v>17</v>
      </c>
      <c r="K12" s="255" t="s">
        <v>18</v>
      </c>
      <c r="L12" s="252" t="s">
        <v>49</v>
      </c>
      <c r="M12" s="253" t="s">
        <v>19</v>
      </c>
      <c r="N12" s="254" t="s">
        <v>48</v>
      </c>
      <c r="O12" s="256" t="s">
        <v>47</v>
      </c>
      <c r="P12" s="251" t="s">
        <v>0</v>
      </c>
      <c r="Q12" s="255" t="s">
        <v>73</v>
      </c>
      <c r="S12" s="321"/>
    </row>
    <row r="13" spans="1:19" ht="17.2" customHeight="1">
      <c r="A13" s="257">
        <v>1</v>
      </c>
      <c r="B13" s="258">
        <f>+'PROPERTY DATA'!D4</f>
        <v>2024</v>
      </c>
      <c r="C13" s="259">
        <f>IF('PROPERTY DATA'!D29="Y",+W67/100,+'PROPERTY DATA'!D19)</f>
        <v>0.5</v>
      </c>
      <c r="D13" s="260">
        <f>IF('PROPERTY DATA'!D29="Y",+V411,365*'PROPERTY DATA'!D18*((1-C13)^(6/12)))</f>
        <v>25809.397513308988</v>
      </c>
      <c r="E13" s="261">
        <f>+'PROPERTY DATA'!D52*(1+'LTC RULES'!D4)</f>
        <v>80.424000000000007</v>
      </c>
      <c r="F13" s="262">
        <f>+E13*D13*(1-('PROPERTY DATA'!$D$54+'PROPERTY DATA'!$D$56))*('PROPERTY DATA'!$D$15)</f>
        <v>1323255.5533266058</v>
      </c>
      <c r="G13" s="259">
        <f>IF('PROPERTY DATA'!D46="Y",+AL67/100,+'PROPERTY DATA'!D36)</f>
        <v>0.6</v>
      </c>
      <c r="H13" s="263">
        <f>IF('PROPERTY DATA'!D$46="Y",+AK411,365*'PROPERTY DATA'!D35*((1-G13)^(6/12)))</f>
        <v>230846.26919229169</v>
      </c>
      <c r="I13" s="261">
        <f>+'PROPERTY DATA'!D53*(1+'LTC RULES'!D10)</f>
        <v>3.1415999999999995</v>
      </c>
      <c r="J13" s="262">
        <f>+I13*H13*(1-('PROPERTY DATA'!$D$55+'PROPERTY DATA'!$D$56))*('PROPERTY DATA'!$D$15)</f>
        <v>489527.98152378987</v>
      </c>
      <c r="K13" s="264">
        <f t="shared" ref="K13:K37" si="0">+F13+J13</f>
        <v>1812783.5348503958</v>
      </c>
      <c r="L13" s="265">
        <f>IF('PROPERTY DATA'!D$12="oil",+'PROPERTY DATA'!D57*(1+'LTC RULES'!D4/3),+'PROPERTY DATA'!D57*(1+'LTC RULES'!D10/3))</f>
        <v>200353.33333333334</v>
      </c>
      <c r="M13" s="266">
        <f>IF(A13='PROPERTY DATA'!D$68,+'PROPERTY DATA'!D$58,IF(A13='PROPERTY DATA'!D$69,+'PROPERTY DATA'!D$59,IF(A13='PROPERTY DATA'!D$70,'PROPERTY DATA'!D$60,IF(A13='PROPERTY DATA'!D$71,+'PROPERTY DATA'!D$61,IF(A13='PROPERTY DATA'!D$72,+'PROPERTY DATA'!D$62,IF(A13='PROPERTY DATA'!D$73,+'PROPERTY DATA'!D$63,IF(A13='PROPERTY DATA'!D$74,+'PROPERTY DATA'!D$64,IF(A13='PROPERTY DATA'!D$75,+'PROPERTY DATA'!D$65,IF(A13='PROPERTY DATA'!D$76,+'PROPERTY DATA'!D$66,IF(A13='PROPERTY DATA'!D$77,'PROPERTY DATA'!D$67,0))))))))))</f>
        <v>50000</v>
      </c>
      <c r="N13" s="262">
        <f t="shared" ref="N13:N37" si="1">+M13+L13</f>
        <v>250353.33333333334</v>
      </c>
      <c r="O13" s="264">
        <f t="shared" ref="O13:O37" si="2">+K13-N13</f>
        <v>1562430.2015170625</v>
      </c>
      <c r="P13" s="267">
        <f>1/((1+'LTC RULES'!$D$16)^(A13-0.5))</f>
        <v>0.93250480824031379</v>
      </c>
      <c r="Q13" s="264">
        <f t="shared" ref="Q13:Q37" si="3">+O13*P13</f>
        <v>1456973.6754545432</v>
      </c>
      <c r="S13" s="321"/>
    </row>
    <row r="14" spans="1:19" ht="15.05" customHeight="1">
      <c r="A14" s="257">
        <v>2</v>
      </c>
      <c r="B14" s="268">
        <f t="shared" ref="B14:B36" si="4">+B13+1</f>
        <v>2025</v>
      </c>
      <c r="C14" s="269">
        <f>IF('PROPERTY DATA'!D$29="Y",+W412,IF($A14&gt;('PROPERTY DATA'!$D$27+'PROPERTY DATA'!$D$26+'PROPERTY DATA'!$D$25+'PROPERTY DATA'!$D$24),+'PROPERTY DATA'!$D$23,IF($A14&gt;('PROPERTY DATA'!$D$26+'PROPERTY DATA'!$D$25+'PROPERTY DATA'!$D$24),+'PROPERTY DATA'!$D$22,IF($A14&gt;('PROPERTY DATA'!$D$25+'PROPERTY DATA'!$D$24),+'PROPERTY DATA'!$D$21,IF($A14&gt;'PROPERTY DATA'!$D$24,+'PROPERTY DATA'!$D$20,+C13)))))</f>
        <v>0.3</v>
      </c>
      <c r="D14" s="270">
        <f>IF('PROPERTY DATA'!D$29="Y",+V412,IF(A14&gt;$A$42,0,IF(SUM(D13:D$13)&gt;$D$42,0,+D13*((1-C13)^0.5)*((1-C14)^0.5))))</f>
        <v>15269.045484246883</v>
      </c>
      <c r="E14" s="271">
        <f>+E13*(1+'LTC RULES'!D5)</f>
        <v>77.207040000000006</v>
      </c>
      <c r="F14" s="272">
        <f>+E14*D14*(1-('PROPERTY DATA'!$D$54+'PROPERTY DATA'!$D$56))*('PROPERTY DATA'!$D$15)</f>
        <v>751534.60098334367</v>
      </c>
      <c r="G14" s="412">
        <f>IF('PROPERTY DATA'!D$46="Y",+AL412,IF($A14&gt;('PROPERTY DATA'!$D$44+'PROPERTY DATA'!$D$43+'PROPERTY DATA'!$D$42+'PROPERTY DATA'!$D$41),+'PROPERTY DATA'!$D$40,IF($A14&gt;('PROPERTY DATA'!$D$43+'PROPERTY DATA'!$D$42+'PROPERTY DATA'!$D$41),+'PROPERTY DATA'!$D$39,IF($A14&gt;('PROPERTY DATA'!$D$42+'PROPERTY DATA'!$D$41),+'PROPERTY DATA'!$D$38,IF($A14&gt;'PROPERTY DATA'!$D$41,+'PROPERTY DATA'!$D$37,+G13)))))</f>
        <v>0.4</v>
      </c>
      <c r="H14" s="270">
        <f>IF('PROPERTY DATA'!D$46="Y",+AK412,IF(A14&gt;$A$42,0,IF(SUM(H13:H$13)&gt;$H$42,0,+H13*((1-G13)^0.5)*((1-G14)^0.5))))</f>
        <v>113091.11370925658</v>
      </c>
      <c r="I14" s="271">
        <f>+I13*(1+'LTC RULES'!D11)</f>
        <v>3.454503359999999</v>
      </c>
      <c r="J14" s="272">
        <f>+I14*H14*(1-('PROPERTY DATA'!$D$55+'PROPERTY DATA'!$D$56))*('PROPERTY DATA'!$D$15)</f>
        <v>263704.70179896895</v>
      </c>
      <c r="K14" s="273">
        <f t="shared" si="0"/>
        <v>1015239.3027823126</v>
      </c>
      <c r="L14" s="274">
        <f>IF('PROPERTY DATA'!D$12="oil",+L13*(1+'LTC RULES'!D5/3),+L13*(1+'LTC RULES'!D11/3))</f>
        <v>197681.95555555556</v>
      </c>
      <c r="M14" s="275">
        <f>IF(A14='PROPERTY DATA'!D$68,+'PROPERTY DATA'!D$58,IF(A14='PROPERTY DATA'!D$69,+'PROPERTY DATA'!D$59,IF(A14='PROPERTY DATA'!D$70,'PROPERTY DATA'!D$60,IF(A14='PROPERTY DATA'!D$71,+'PROPERTY DATA'!D$61,IF(A14='PROPERTY DATA'!D$72,+'PROPERTY DATA'!D$62,IF(A14='PROPERTY DATA'!D$73,+'PROPERTY DATA'!D$63,IF(A14='PROPERTY DATA'!D$74,+'PROPERTY DATA'!D$64,IF(A14='PROPERTY DATA'!D$75,+'PROPERTY DATA'!D$65,IF(A14='PROPERTY DATA'!D$76,+'PROPERTY DATA'!D$66,IF(A14='PROPERTY DATA'!D$77,'PROPERTY DATA'!D$67,0))))))))))</f>
        <v>0</v>
      </c>
      <c r="N14" s="272">
        <f t="shared" si="1"/>
        <v>197681.95555555556</v>
      </c>
      <c r="O14" s="273">
        <f t="shared" si="2"/>
        <v>817557.34722675709</v>
      </c>
      <c r="P14" s="276">
        <f>1/((1+'LTC RULES'!$D$16)^(A14-0.5))</f>
        <v>0.81087374629592512</v>
      </c>
      <c r="Q14" s="273">
        <f t="shared" si="3"/>
        <v>662935.78895751899</v>
      </c>
      <c r="S14" s="321"/>
    </row>
    <row r="15" spans="1:19" ht="15.05" customHeight="1">
      <c r="A15" s="257">
        <v>3</v>
      </c>
      <c r="B15" s="268">
        <f t="shared" si="4"/>
        <v>2026</v>
      </c>
      <c r="C15" s="269">
        <f>IF('PROPERTY DATA'!D$29="Y",+W413,IF($A15&gt;('PROPERTY DATA'!$D$27+'PROPERTY DATA'!$D$26+'PROPERTY DATA'!$D$25+'PROPERTY DATA'!$D$24),+'PROPERTY DATA'!$D$23,IF($A15&gt;('PROPERTY DATA'!$D$26+'PROPERTY DATA'!$D$25+'PROPERTY DATA'!$D$24),+'PROPERTY DATA'!$D$22,IF($A15&gt;('PROPERTY DATA'!$D$25+'PROPERTY DATA'!$D$24),+'PROPERTY DATA'!$D$21,IF($A15&gt;'PROPERTY DATA'!$D$24,+'PROPERTY DATA'!$D$20,+C14)))))</f>
        <v>0.2</v>
      </c>
      <c r="D15" s="270">
        <f>IF('PROPERTY DATA'!D$29="Y",+V413,IF(A15&gt;$A$42,0,IF(SUM(D$13:D14)&gt;$D$42,0,+D14*((1-C14)^0.5)*((1-C15)^0.5))))</f>
        <v>11426.307365023928</v>
      </c>
      <c r="E15" s="271">
        <f>+E14*(1+'LTC RULES'!D6)</f>
        <v>73.995227136000011</v>
      </c>
      <c r="F15" s="272">
        <f>+E15*D15*(1-('PROPERTY DATA'!$D$54+'PROPERTY DATA'!$D$56))*('PROPERTY DATA'!$D$15)</f>
        <v>539001.28311044327</v>
      </c>
      <c r="G15" s="412">
        <f>IF('PROPERTY DATA'!D$46="Y",+AL413,IF($A15&gt;('PROPERTY DATA'!$D$44+'PROPERTY DATA'!$D$43+'PROPERTY DATA'!$D$42+'PROPERTY DATA'!$D$41),+'PROPERTY DATA'!$D$40,IF($A15&gt;('PROPERTY DATA'!$D$43+'PROPERTY DATA'!$D$42+'PROPERTY DATA'!$D$41),+'PROPERTY DATA'!$D$39,IF($A15&gt;('PROPERTY DATA'!$D$42+'PROPERTY DATA'!$D$41),+'PROPERTY DATA'!$D$38,IF($A15&gt;'PROPERTY DATA'!$D$41,+'PROPERTY DATA'!$D$37,+G14)))))</f>
        <v>0.3</v>
      </c>
      <c r="H15" s="270">
        <f>IF('PROPERTY DATA'!D$46="Y",+AK413,IF(A15&gt;$A$42,0,IF(SUM(H$13:H14)&gt;$H$42,0,+H14*((1-G14)^0.5)*((1-G15)^0.5))))</f>
        <v>73291.418324385013</v>
      </c>
      <c r="I15" s="271">
        <f>+I14*(1+'LTC RULES'!D12)</f>
        <v>3.7674813644159988</v>
      </c>
      <c r="J15" s="272">
        <f>+I15*H15*(1-('PROPERTY DATA'!$D$55+'PROPERTY DATA'!$D$56))*('PROPERTY DATA'!$D$15)</f>
        <v>186383.73557839802</v>
      </c>
      <c r="K15" s="273">
        <f t="shared" si="0"/>
        <v>725385.01868884126</v>
      </c>
      <c r="L15" s="274">
        <f>IF('PROPERTY DATA'!D$12="oil",+L14*(1+'LTC RULES'!D6/3),+L14*(1+'LTC RULES'!D12/3))</f>
        <v>194940.76577185185</v>
      </c>
      <c r="M15" s="275">
        <f>IF(A15='PROPERTY DATA'!D$68,+'PROPERTY DATA'!D$58,IF(A15='PROPERTY DATA'!D$69,+'PROPERTY DATA'!D$59,IF(A15='PROPERTY DATA'!D$70,'PROPERTY DATA'!D$60,IF(A15='PROPERTY DATA'!D$71,+'PROPERTY DATA'!D$61,IF(A15='PROPERTY DATA'!D$72,+'PROPERTY DATA'!D$62,IF(A15='PROPERTY DATA'!D$73,+'PROPERTY DATA'!D$63,IF(A15='PROPERTY DATA'!D$74,+'PROPERTY DATA'!D$64,IF(A15='PROPERTY DATA'!D$75,+'PROPERTY DATA'!D$65,IF(A15='PROPERTY DATA'!D$76,+'PROPERTY DATA'!D$66,IF(A15='PROPERTY DATA'!D$77,'PROPERTY DATA'!D$67,0))))))))))</f>
        <v>0</v>
      </c>
      <c r="N15" s="272">
        <f t="shared" si="1"/>
        <v>194940.76577185185</v>
      </c>
      <c r="O15" s="273">
        <f t="shared" si="2"/>
        <v>530444.25291698938</v>
      </c>
      <c r="P15" s="276">
        <f>1/((1+'LTC RULES'!$D$16)^(A15-0.5))</f>
        <v>0.70510760547471751</v>
      </c>
      <c r="Q15" s="273">
        <f t="shared" si="3"/>
        <v>374020.27701212384</v>
      </c>
      <c r="S15" s="321"/>
    </row>
    <row r="16" spans="1:19" ht="15.05" customHeight="1">
      <c r="A16" s="257">
        <v>4</v>
      </c>
      <c r="B16" s="268">
        <f t="shared" si="4"/>
        <v>2027</v>
      </c>
      <c r="C16" s="269">
        <f>IF('PROPERTY DATA'!D$29="Y",+W414,IF($A16&gt;('PROPERTY DATA'!$D$27+'PROPERTY DATA'!$D$26+'PROPERTY DATA'!$D$25+'PROPERTY DATA'!$D$24),+'PROPERTY DATA'!$D$23,IF($A16&gt;('PROPERTY DATA'!$D$26+'PROPERTY DATA'!$D$25+'PROPERTY DATA'!$D$24),+'PROPERTY DATA'!$D$22,IF($A16&gt;('PROPERTY DATA'!$D$25+'PROPERTY DATA'!$D$24),+'PROPERTY DATA'!$D$21,IF($A16&gt;'PROPERTY DATA'!$D$24,+'PROPERTY DATA'!$D$20,+C15)))))</f>
        <v>0.15</v>
      </c>
      <c r="D16" s="270">
        <f>IF('PROPERTY DATA'!D$29="Y",+V414,IF(A16&gt;$A$42,0,IF(SUM(D$13:D15)&gt;$D$42,0,+D15*((1-C15)^0.5)*((1-C16)^0.5))))</f>
        <v>9422.374435353333</v>
      </c>
      <c r="E16" s="271">
        <f>+E15*(1+'LTC RULES'!D7)</f>
        <v>70.783834278297604</v>
      </c>
      <c r="F16" s="272">
        <f>+E16*D16*(1-('PROPERTY DATA'!$D$54+'PROPERTY DATA'!$D$56))*('PROPERTY DATA'!$D$15)</f>
        <v>425181.7664693254</v>
      </c>
      <c r="G16" s="412">
        <f>IF('PROPERTY DATA'!D$46="Y",+AL414,IF($A16&gt;('PROPERTY DATA'!$D$44+'PROPERTY DATA'!$D$43+'PROPERTY DATA'!$D$42+'PROPERTY DATA'!$D$41),+'PROPERTY DATA'!$D$40,IF($A16&gt;('PROPERTY DATA'!$D$43+'PROPERTY DATA'!$D$42+'PROPERTY DATA'!$D$41),+'PROPERTY DATA'!$D$39,IF($A16&gt;('PROPERTY DATA'!$D$42+'PROPERTY DATA'!$D$41),+'PROPERTY DATA'!$D$38,IF($A16&gt;'PROPERTY DATA'!$D$41,+'PROPERTY DATA'!$D$37,+G15)))))</f>
        <v>0.2</v>
      </c>
      <c r="H16" s="270">
        <f>IF('PROPERTY DATA'!D$46="Y",+AK414,IF(A16&gt;$A$42,0,IF(SUM(H$13:H15)&gt;$H$42,0,+H15*((1-G15)^0.5)*((1-G16)^0.5))))</f>
        <v>54846.275352114841</v>
      </c>
      <c r="I16" s="271">
        <f>+I15*(1+'LTC RULES'!D13)</f>
        <v>4.0805590657989681</v>
      </c>
      <c r="J16" s="272">
        <f>+I16*H16*(1-('PROPERTY DATA'!$D$55+'PROPERTY DATA'!$D$56))*('PROPERTY DATA'!$D$15)</f>
        <v>151067.33962653065</v>
      </c>
      <c r="K16" s="273">
        <f t="shared" si="0"/>
        <v>576249.10609585606</v>
      </c>
      <c r="L16" s="274">
        <f>IF('PROPERTY DATA'!D$12="oil",+L15*(1+'LTC RULES'!D7/3),+L15*(1+'LTC RULES'!D13/3))</f>
        <v>192120.62269368573</v>
      </c>
      <c r="M16" s="275">
        <f>IF(A16='PROPERTY DATA'!D$68,+'PROPERTY DATA'!D$58,IF(A16='PROPERTY DATA'!D$69,+'PROPERTY DATA'!D$59,IF(A16='PROPERTY DATA'!D$70,'PROPERTY DATA'!D$60,IF(A16='PROPERTY DATA'!D$71,+'PROPERTY DATA'!D$61,IF(A16='PROPERTY DATA'!D$72,+'PROPERTY DATA'!D$62,IF(A16='PROPERTY DATA'!D$73,+'PROPERTY DATA'!D$63,IF(A16='PROPERTY DATA'!D$74,+'PROPERTY DATA'!D$64,IF(A16='PROPERTY DATA'!D$75,+'PROPERTY DATA'!D$65,IF(A16='PROPERTY DATA'!D$76,+'PROPERTY DATA'!D$66,IF(A16='PROPERTY DATA'!D$77,'PROPERTY DATA'!D$67,0))))))))))</f>
        <v>0</v>
      </c>
      <c r="N16" s="272">
        <f t="shared" si="1"/>
        <v>192120.62269368573</v>
      </c>
      <c r="O16" s="273">
        <f t="shared" si="2"/>
        <v>384128.48340217036</v>
      </c>
      <c r="P16" s="276">
        <f>1/((1+'LTC RULES'!$D$16)^(A16-0.5))</f>
        <v>0.61313704823888482</v>
      </c>
      <c r="Q16" s="273">
        <f t="shared" si="3"/>
        <v>235523.40445768621</v>
      </c>
      <c r="S16" s="321"/>
    </row>
    <row r="17" spans="1:19" ht="15.05" customHeight="1">
      <c r="A17" s="257">
        <v>5</v>
      </c>
      <c r="B17" s="268">
        <f t="shared" si="4"/>
        <v>2028</v>
      </c>
      <c r="C17" s="269">
        <f>IF('PROPERTY DATA'!D$29="Y",+W415,IF($A17&gt;('PROPERTY DATA'!$D$27+'PROPERTY DATA'!$D$26+'PROPERTY DATA'!$D$25+'PROPERTY DATA'!$D$24),+'PROPERTY DATA'!$D$23,IF($A17&gt;('PROPERTY DATA'!$D$26+'PROPERTY DATA'!$D$25+'PROPERTY DATA'!$D$24),+'PROPERTY DATA'!$D$22,IF($A17&gt;('PROPERTY DATA'!$D$25+'PROPERTY DATA'!$D$24),+'PROPERTY DATA'!$D$21,IF($A17&gt;'PROPERTY DATA'!$D$24,+'PROPERTY DATA'!$D$20,+C16)))))</f>
        <v>0.1</v>
      </c>
      <c r="D17" s="270">
        <f>IF('PROPERTY DATA'!D$29="Y",+V415,IF(A17&gt;$A$42,0,IF(SUM(D$13:D16)&gt;$D$42,0,+D16*((1-C16)^0.5)*((1-C17)^0.5))))</f>
        <v>8241.2118101648157</v>
      </c>
      <c r="E17" s="271">
        <f>+E16*(1+'LTC RULES'!D8)</f>
        <v>67.570248202062899</v>
      </c>
      <c r="F17" s="272">
        <f>+E17*D17*(1-('PROPERTY DATA'!$D$54+'PROPERTY DATA'!$D$56))*('PROPERTY DATA'!$D$15)</f>
        <v>354998.71378036303</v>
      </c>
      <c r="G17" s="412">
        <f>IF('PROPERTY DATA'!D$46="Y",+AL415,IF($A17&gt;('PROPERTY DATA'!$D$44+'PROPERTY DATA'!$D$43+'PROPERTY DATA'!$D$42+'PROPERTY DATA'!$D$41),+'PROPERTY DATA'!$D$40,IF($A17&gt;('PROPERTY DATA'!$D$43+'PROPERTY DATA'!$D$42+'PROPERTY DATA'!$D$41),+'PROPERTY DATA'!$D$39,IF($A17&gt;('PROPERTY DATA'!$D$42+'PROPERTY DATA'!$D$41),+'PROPERTY DATA'!$D$38,IF($A17&gt;'PROPERTY DATA'!$D$41,+'PROPERTY DATA'!$D$37,+G16)))))</f>
        <v>0.15</v>
      </c>
      <c r="H17" s="270">
        <f>IF('PROPERTY DATA'!D$46="Y",+AK415,IF(A17&gt;$A$42,0,IF(SUM(H$13:H16)&gt;$H$42,0,+H16*((1-G16)^0.5)*((1-G17)^0.5))))</f>
        <v>45227.397289695989</v>
      </c>
      <c r="I17" s="271">
        <f>+I16*(1+'LTC RULES'!D14)</f>
        <v>4.3935379461457487</v>
      </c>
      <c r="J17" s="272">
        <f>+I17*H17*(1-('PROPERTY DATA'!$D$55+'PROPERTY DATA'!$D$56))*('PROPERTY DATA'!$D$15)</f>
        <v>134128.09318343989</v>
      </c>
      <c r="K17" s="273">
        <f t="shared" si="0"/>
        <v>489126.8069638029</v>
      </c>
      <c r="L17" s="274">
        <f>IF('PROPERTY DATA'!D$12="oil",+L16*(1+'LTC RULES'!D8/3),+L16*(1+'LTC RULES'!D14/3))</f>
        <v>189213.1972702546</v>
      </c>
      <c r="M17" s="275">
        <f>IF(A17='PROPERTY DATA'!D$68,+'PROPERTY DATA'!D$58,IF(A17='PROPERTY DATA'!D$69,+'PROPERTY DATA'!D$59,IF(A17='PROPERTY DATA'!D$70,'PROPERTY DATA'!D$60,IF(A17='PROPERTY DATA'!D$71,+'PROPERTY DATA'!D$61,IF(A17='PROPERTY DATA'!D$72,+'PROPERTY DATA'!D$62,IF(A17='PROPERTY DATA'!D$73,+'PROPERTY DATA'!D$63,IF(A17='PROPERTY DATA'!D$74,+'PROPERTY DATA'!D$64,IF(A17='PROPERTY DATA'!D$75,+'PROPERTY DATA'!D$65,IF(A17='PROPERTY DATA'!D$76,+'PROPERTY DATA'!D$66,IF(A17='PROPERTY DATA'!D$77,'PROPERTY DATA'!D$67,0))))))))))</f>
        <v>0</v>
      </c>
      <c r="N17" s="272">
        <f t="shared" si="1"/>
        <v>189213.1972702546</v>
      </c>
      <c r="O17" s="273">
        <f t="shared" si="2"/>
        <v>299913.60969354829</v>
      </c>
      <c r="P17" s="276">
        <f>1/((1+'LTC RULES'!$D$16)^(A17-0.5))</f>
        <v>0.53316265064250867</v>
      </c>
      <c r="Q17" s="273">
        <f t="shared" si="3"/>
        <v>159902.73510797499</v>
      </c>
      <c r="S17" s="321"/>
    </row>
    <row r="18" spans="1:19" ht="21.95" customHeight="1">
      <c r="A18" s="257">
        <v>6</v>
      </c>
      <c r="B18" s="268">
        <f t="shared" si="4"/>
        <v>2029</v>
      </c>
      <c r="C18" s="269">
        <f>IF('PROPERTY DATA'!D$29="Y",+W416,IF($A18&gt;('PROPERTY DATA'!$D$27+'PROPERTY DATA'!$D$26+'PROPERTY DATA'!$D$25+'PROPERTY DATA'!$D$24),+'PROPERTY DATA'!$D$23,IF($A18&gt;('PROPERTY DATA'!$D$26+'PROPERTY DATA'!$D$25+'PROPERTY DATA'!$D$24),+'PROPERTY DATA'!$D$22,IF($A18&gt;('PROPERTY DATA'!$D$25+'PROPERTY DATA'!$D$24),+'PROPERTY DATA'!$D$21,IF($A18&gt;'PROPERTY DATA'!$D$24,+'PROPERTY DATA'!$D$20,+C17)))))</f>
        <v>0.1</v>
      </c>
      <c r="D18" s="270">
        <f>IF('PROPERTY DATA'!D$29="Y",+V416,IF(A18&gt;$A$42,0,IF(SUM(D$13:D17)&gt;$D$42,0,+D17*((1-C17)^0.5)*((1-C18)^0.5))))</f>
        <v>7417.0906291483334</v>
      </c>
      <c r="E18" s="271">
        <f>+E17*(1+'LTC RULES'!D$9)</f>
        <v>67.570248202062899</v>
      </c>
      <c r="F18" s="272">
        <f>+E18*D18*(1-('PROPERTY DATA'!$D$54+'PROPERTY DATA'!$D$56))*('PROPERTY DATA'!$D$15)</f>
        <v>319498.8424023267</v>
      </c>
      <c r="G18" s="412">
        <f>IF('PROPERTY DATA'!D$46="Y",+AL416,IF($A18&gt;('PROPERTY DATA'!$D$44+'PROPERTY DATA'!$D$43+'PROPERTY DATA'!$D$42+'PROPERTY DATA'!$D$41),+'PROPERTY DATA'!$D$40,IF($A18&gt;('PROPERTY DATA'!$D$43+'PROPERTY DATA'!$D$42+'PROPERTY DATA'!$D$41),+'PROPERTY DATA'!$D$39,IF($A18&gt;('PROPERTY DATA'!$D$42+'PROPERTY DATA'!$D$41),+'PROPERTY DATA'!$D$38,IF($A18&gt;'PROPERTY DATA'!$D$41,+'PROPERTY DATA'!$D$37,+G17)))))</f>
        <v>0.15</v>
      </c>
      <c r="H18" s="270">
        <f>IF('PROPERTY DATA'!D$46="Y",+AK416,IF(A18&gt;$A$42,0,IF(SUM(H$13:H17)&gt;$H$42,0,+H17*((1-G17)^0.5)*((1-G18)^0.5))))</f>
        <v>38443.287696241598</v>
      </c>
      <c r="I18" s="271">
        <f>+I17*(1+'LTC RULES'!D$15)</f>
        <v>4.3935379461457487</v>
      </c>
      <c r="J18" s="272">
        <f>+I18*H18*(1-('PROPERTY DATA'!$D$55+'PROPERTY DATA'!$D$56))*('PROPERTY DATA'!$D$15)</f>
        <v>114008.87920592392</v>
      </c>
      <c r="K18" s="273">
        <f t="shared" si="0"/>
        <v>433507.72160825063</v>
      </c>
      <c r="L18" s="274">
        <f t="shared" ref="L18:L37" si="5">+L17</f>
        <v>189213.1972702546</v>
      </c>
      <c r="M18" s="275">
        <f>IF(A18='PROPERTY DATA'!D$68,+'PROPERTY DATA'!D$58,IF(A18='PROPERTY DATA'!D$69,+'PROPERTY DATA'!D$59,IF(A18='PROPERTY DATA'!D$70,'PROPERTY DATA'!D$60,IF(A18='PROPERTY DATA'!D$71,+'PROPERTY DATA'!D$61,IF(A18='PROPERTY DATA'!D$72,+'PROPERTY DATA'!D$62,IF(A18='PROPERTY DATA'!D$73,+'PROPERTY DATA'!D$63,IF(A18='PROPERTY DATA'!D$74,+'PROPERTY DATA'!D$64,IF(A18='PROPERTY DATA'!D$75,+'PROPERTY DATA'!D$65,IF(A18='PROPERTY DATA'!D$76,+'PROPERTY DATA'!D$66,IF(A18='PROPERTY DATA'!D$77,'PROPERTY DATA'!D$67,0))))))))))</f>
        <v>0</v>
      </c>
      <c r="N18" s="272">
        <f t="shared" si="1"/>
        <v>189213.1972702546</v>
      </c>
      <c r="O18" s="273">
        <f t="shared" si="2"/>
        <v>244294.52433799603</v>
      </c>
      <c r="P18" s="276">
        <f>1/((1+'LTC RULES'!$D$16)^(A18-0.5))</f>
        <v>0.46361969621087712</v>
      </c>
      <c r="Q18" s="273">
        <f t="shared" si="3"/>
        <v>113259.75315956245</v>
      </c>
      <c r="S18" s="321"/>
    </row>
    <row r="19" spans="1:19" ht="15.05" customHeight="1">
      <c r="A19" s="257">
        <v>7</v>
      </c>
      <c r="B19" s="268">
        <f t="shared" si="4"/>
        <v>2030</v>
      </c>
      <c r="C19" s="269">
        <f>IF('PROPERTY DATA'!D$29="Y",+W417,IF($A19&gt;('PROPERTY DATA'!$D$27+'PROPERTY DATA'!$D$26+'PROPERTY DATA'!$D$25+'PROPERTY DATA'!$D$24),+'PROPERTY DATA'!$D$23,IF($A19&gt;('PROPERTY DATA'!$D$26+'PROPERTY DATA'!$D$25+'PROPERTY DATA'!$D$24),+'PROPERTY DATA'!$D$22,IF($A19&gt;('PROPERTY DATA'!$D$25+'PROPERTY DATA'!$D$24),+'PROPERTY DATA'!$D$21,IF($A19&gt;'PROPERTY DATA'!$D$24,+'PROPERTY DATA'!$D$20,+C18)))))</f>
        <v>0.1</v>
      </c>
      <c r="D19" s="270">
        <f>IF('PROPERTY DATA'!D$29="Y",+V417,IF(A19&gt;$A$42,0,IF(SUM(D$13:D18)&gt;$D$42,0,+D18*((1-C18)^0.5)*((1-C19)^0.5))))</f>
        <v>6675.3815662335001</v>
      </c>
      <c r="E19" s="271">
        <f>+E18*(1+'LTC RULES'!D$9)</f>
        <v>67.570248202062899</v>
      </c>
      <c r="F19" s="272">
        <f>+E19*D19*(1-('PROPERTY DATA'!$D$54+'PROPERTY DATA'!$D$56))*('PROPERTY DATA'!$D$15)</f>
        <v>287548.958162094</v>
      </c>
      <c r="G19" s="412">
        <f>IF('PROPERTY DATA'!D$46="Y",+AL417,IF($A19&gt;('PROPERTY DATA'!$D$44+'PROPERTY DATA'!$D$43+'PROPERTY DATA'!$D$42+'PROPERTY DATA'!$D$41),+'PROPERTY DATA'!$D$40,IF($A19&gt;('PROPERTY DATA'!$D$43+'PROPERTY DATA'!$D$42+'PROPERTY DATA'!$D$41),+'PROPERTY DATA'!$D$39,IF($A19&gt;('PROPERTY DATA'!$D$42+'PROPERTY DATA'!$D$41),+'PROPERTY DATA'!$D$38,IF($A19&gt;'PROPERTY DATA'!$D$41,+'PROPERTY DATA'!$D$37,+G18)))))</f>
        <v>0.15</v>
      </c>
      <c r="H19" s="270">
        <f>IF('PROPERTY DATA'!D$46="Y",+AK417,IF(A19&gt;$A$42,0,IF(SUM(H$13:H18)&gt;$H$42,0,+H18*((1-G18)^0.5)*((1-G19)^0.5))))</f>
        <v>32676.794541805357</v>
      </c>
      <c r="I19" s="271">
        <f>+I18*(1+'LTC RULES'!D$15)</f>
        <v>4.3935379461457487</v>
      </c>
      <c r="J19" s="272">
        <f>+I19*H19*(1-('PROPERTY DATA'!$D$55+'PROPERTY DATA'!$D$56))*('PROPERTY DATA'!$D$15)</f>
        <v>96907.547325035324</v>
      </c>
      <c r="K19" s="273">
        <f t="shared" si="0"/>
        <v>384456.50548712933</v>
      </c>
      <c r="L19" s="274">
        <f t="shared" si="5"/>
        <v>189213.1972702546</v>
      </c>
      <c r="M19" s="275">
        <f>IF(A19='PROPERTY DATA'!D$68,+'PROPERTY DATA'!D$58,IF(A19='PROPERTY DATA'!D$69,+'PROPERTY DATA'!D$59,IF(A19='PROPERTY DATA'!D$70,'PROPERTY DATA'!D$60,IF(A19='PROPERTY DATA'!D$71,+'PROPERTY DATA'!D$61,IF(A19='PROPERTY DATA'!D$72,+'PROPERTY DATA'!D$62,IF(A19='PROPERTY DATA'!D$73,+'PROPERTY DATA'!D$63,IF(A19='PROPERTY DATA'!D$74,+'PROPERTY DATA'!D$64,IF(A19='PROPERTY DATA'!D$75,+'PROPERTY DATA'!D$65,IF(A19='PROPERTY DATA'!D$76,+'PROPERTY DATA'!D$66,IF(A19='PROPERTY DATA'!D$77,'PROPERTY DATA'!D$67,0))))))))))</f>
        <v>0</v>
      </c>
      <c r="N19" s="272">
        <f t="shared" si="1"/>
        <v>189213.1972702546</v>
      </c>
      <c r="O19" s="273">
        <f t="shared" si="2"/>
        <v>195243.30821687472</v>
      </c>
      <c r="P19" s="276">
        <f>1/((1+'LTC RULES'!$D$16)^(A19-0.5))</f>
        <v>0.40314756192250184</v>
      </c>
      <c r="Q19" s="273">
        <f t="shared" si="3"/>
        <v>78711.863689316611</v>
      </c>
      <c r="S19" s="321"/>
    </row>
    <row r="20" spans="1:19" ht="15.05" customHeight="1">
      <c r="A20" s="257">
        <v>8</v>
      </c>
      <c r="B20" s="268">
        <f t="shared" si="4"/>
        <v>2031</v>
      </c>
      <c r="C20" s="269">
        <f>IF('PROPERTY DATA'!D$29="Y",+W418,IF($A20&gt;('PROPERTY DATA'!$D$27+'PROPERTY DATA'!$D$26+'PROPERTY DATA'!$D$25+'PROPERTY DATA'!$D$24),+'PROPERTY DATA'!$D$23,IF($A20&gt;('PROPERTY DATA'!$D$26+'PROPERTY DATA'!$D$25+'PROPERTY DATA'!$D$24),+'PROPERTY DATA'!$D$22,IF($A20&gt;('PROPERTY DATA'!$D$25+'PROPERTY DATA'!$D$24),+'PROPERTY DATA'!$D$21,IF($A20&gt;'PROPERTY DATA'!$D$24,+'PROPERTY DATA'!$D$20,+C19)))))</f>
        <v>0.1</v>
      </c>
      <c r="D20" s="270">
        <f>IF('PROPERTY DATA'!D$29="Y",+V418,IF(A20&gt;$A$42,0,IF(SUM(D$13:D19)&gt;$D$42,0,+D19*((1-C19)^0.5)*((1-C20)^0.5))))</f>
        <v>6007.84340961015</v>
      </c>
      <c r="E20" s="271">
        <f>+E19*(1+'LTC RULES'!D$9)</f>
        <v>67.570248202062899</v>
      </c>
      <c r="F20" s="272">
        <f>+E20*D20*(1-('PROPERTY DATA'!$D$54+'PROPERTY DATA'!$D$56))*('PROPERTY DATA'!$D$15)</f>
        <v>258794.06234588462</v>
      </c>
      <c r="G20" s="412">
        <f>IF('PROPERTY DATA'!D$46="Y",+AL418,IF($A20&gt;('PROPERTY DATA'!$D$44+'PROPERTY DATA'!$D$43+'PROPERTY DATA'!$D$42+'PROPERTY DATA'!$D$41),+'PROPERTY DATA'!$D$40,IF($A20&gt;('PROPERTY DATA'!$D$43+'PROPERTY DATA'!$D$42+'PROPERTY DATA'!$D$41),+'PROPERTY DATA'!$D$39,IF($A20&gt;('PROPERTY DATA'!$D$42+'PROPERTY DATA'!$D$41),+'PROPERTY DATA'!$D$38,IF($A20&gt;'PROPERTY DATA'!$D$41,+'PROPERTY DATA'!$D$37,+G19)))))</f>
        <v>0.15</v>
      </c>
      <c r="H20" s="270">
        <f>IF('PROPERTY DATA'!D$46="Y",+AK418,IF(A20&gt;$A$42,0,IF(SUM(H$13:H19)&gt;$H$42,0,+H19*((1-G19)^0.5)*((1-G20)^0.5))))</f>
        <v>27775.275360534557</v>
      </c>
      <c r="I20" s="271">
        <f>+I19*(1+'LTC RULES'!D$15)</f>
        <v>4.3935379461457487</v>
      </c>
      <c r="J20" s="272">
        <f>+I20*H20*(1-('PROPERTY DATA'!$D$55+'PROPERTY DATA'!$D$56))*('PROPERTY DATA'!$D$15)</f>
        <v>82371.415226280049</v>
      </c>
      <c r="K20" s="273">
        <f t="shared" si="0"/>
        <v>341165.47757216467</v>
      </c>
      <c r="L20" s="274">
        <f t="shared" si="5"/>
        <v>189213.1972702546</v>
      </c>
      <c r="M20" s="275">
        <f>IF(A20='PROPERTY DATA'!D$68,+'PROPERTY DATA'!D$58,IF(A20='PROPERTY DATA'!D$69,+'PROPERTY DATA'!D$59,IF(A20='PROPERTY DATA'!D$70,'PROPERTY DATA'!D$60,IF(A20='PROPERTY DATA'!D$71,+'PROPERTY DATA'!D$61,IF(A20='PROPERTY DATA'!D$72,+'PROPERTY DATA'!D$62,IF(A20='PROPERTY DATA'!D$73,+'PROPERTY DATA'!D$63,IF(A20='PROPERTY DATA'!D$74,+'PROPERTY DATA'!D$64,IF(A20='PROPERTY DATA'!D$75,+'PROPERTY DATA'!D$65,IF(A20='PROPERTY DATA'!D$76,+'PROPERTY DATA'!D$66,IF(A20='PROPERTY DATA'!D$77,'PROPERTY DATA'!D$67,0))))))))))</f>
        <v>0</v>
      </c>
      <c r="N20" s="272">
        <f t="shared" si="1"/>
        <v>189213.1972702546</v>
      </c>
      <c r="O20" s="273">
        <f t="shared" si="2"/>
        <v>151952.28030191007</v>
      </c>
      <c r="P20" s="276">
        <f>1/((1+'LTC RULES'!$D$16)^(A20-0.5))</f>
        <v>0.35056309732391466</v>
      </c>
      <c r="Q20" s="273">
        <f t="shared" si="3"/>
        <v>53268.862028069263</v>
      </c>
      <c r="S20" s="321"/>
    </row>
    <row r="21" spans="1:19" ht="15.05" customHeight="1">
      <c r="A21" s="257">
        <v>9</v>
      </c>
      <c r="B21" s="268">
        <f t="shared" si="4"/>
        <v>2032</v>
      </c>
      <c r="C21" s="269">
        <f>IF('PROPERTY DATA'!D$29="Y",+W419,IF($A21&gt;('PROPERTY DATA'!$D$27+'PROPERTY DATA'!$D$26+'PROPERTY DATA'!$D$25+'PROPERTY DATA'!$D$24),+'PROPERTY DATA'!$D$23,IF($A21&gt;('PROPERTY DATA'!$D$26+'PROPERTY DATA'!$D$25+'PROPERTY DATA'!$D$24),+'PROPERTY DATA'!$D$22,IF($A21&gt;('PROPERTY DATA'!$D$25+'PROPERTY DATA'!$D$24),+'PROPERTY DATA'!$D$21,IF($A21&gt;'PROPERTY DATA'!$D$24,+'PROPERTY DATA'!$D$20,+C20)))))</f>
        <v>0.1</v>
      </c>
      <c r="D21" s="270">
        <f>IF('PROPERTY DATA'!D$29="Y",+V419,IF(A21&gt;$A$42,0,IF(SUM(D$13:D20)&gt;$D$42,0,+D20*((1-C20)^0.5)*((1-C21)^0.5))))</f>
        <v>5407.0590686491341</v>
      </c>
      <c r="E21" s="271">
        <f>+E20*(1+'LTC RULES'!D$9)</f>
        <v>67.570248202062899</v>
      </c>
      <c r="F21" s="272">
        <f>+E21*D21*(1-('PROPERTY DATA'!$D$54+'PROPERTY DATA'!$D$56))*('PROPERTY DATA'!$D$15)</f>
        <v>232914.65611129609</v>
      </c>
      <c r="G21" s="412">
        <f>IF('PROPERTY DATA'!D$46="Y",+AL419,IF($A21&gt;('PROPERTY DATA'!$D$44+'PROPERTY DATA'!$D$43+'PROPERTY DATA'!$D$42+'PROPERTY DATA'!$D$41),+'PROPERTY DATA'!$D$40,IF($A21&gt;('PROPERTY DATA'!$D$43+'PROPERTY DATA'!$D$42+'PROPERTY DATA'!$D$41),+'PROPERTY DATA'!$D$39,IF($A21&gt;('PROPERTY DATA'!$D$42+'PROPERTY DATA'!$D$41),+'PROPERTY DATA'!$D$38,IF($A21&gt;'PROPERTY DATA'!$D$41,+'PROPERTY DATA'!$D$37,+G20)))))</f>
        <v>0.15</v>
      </c>
      <c r="H21" s="270">
        <f>IF('PROPERTY DATA'!D$46="Y",+AK419,IF(A21&gt;$A$42,0,IF(SUM(H$13:H20)&gt;$H$42,0,+H20*((1-G20)^0.5)*((1-G21)^0.5))))</f>
        <v>23608.984056454374</v>
      </c>
      <c r="I21" s="271">
        <f>+I20*(1+'LTC RULES'!D$15)</f>
        <v>4.3935379461457487</v>
      </c>
      <c r="J21" s="272">
        <f>+I21*H21*(1-('PROPERTY DATA'!$D$55+'PROPERTY DATA'!$D$56))*('PROPERTY DATA'!$D$15)</f>
        <v>70015.702942338045</v>
      </c>
      <c r="K21" s="273">
        <f t="shared" si="0"/>
        <v>302930.35905363411</v>
      </c>
      <c r="L21" s="274">
        <f t="shared" si="5"/>
        <v>189213.1972702546</v>
      </c>
      <c r="M21" s="275">
        <f>IF(A21='PROPERTY DATA'!D$68,+'PROPERTY DATA'!D$58,IF(A21='PROPERTY DATA'!D$69,+'PROPERTY DATA'!D$59,IF(A21='PROPERTY DATA'!D$70,'PROPERTY DATA'!D$60,IF(A21='PROPERTY DATA'!D$71,+'PROPERTY DATA'!D$61,IF(A21='PROPERTY DATA'!D$72,+'PROPERTY DATA'!D$62,IF(A21='PROPERTY DATA'!D$73,+'PROPERTY DATA'!D$63,IF(A21='PROPERTY DATA'!D$74,+'PROPERTY DATA'!D$64,IF(A21='PROPERTY DATA'!D$75,+'PROPERTY DATA'!D$65,IF(A21='PROPERTY DATA'!D$76,+'PROPERTY DATA'!D$66,IF(A21='PROPERTY DATA'!D$77,'PROPERTY DATA'!D$67,0))))))))))</f>
        <v>0</v>
      </c>
      <c r="N21" s="272">
        <f t="shared" si="1"/>
        <v>189213.1972702546</v>
      </c>
      <c r="O21" s="273">
        <f t="shared" si="2"/>
        <v>113717.1617833795</v>
      </c>
      <c r="P21" s="276">
        <f>1/((1+'LTC RULES'!$D$16)^(A21-0.5))</f>
        <v>0.30483747593383886</v>
      </c>
      <c r="Q21" s="273">
        <f t="shared" si="3"/>
        <v>34665.252568405413</v>
      </c>
      <c r="S21" s="321"/>
    </row>
    <row r="22" spans="1:19" ht="15.05" customHeight="1">
      <c r="A22" s="257">
        <v>10</v>
      </c>
      <c r="B22" s="268">
        <f t="shared" si="4"/>
        <v>2033</v>
      </c>
      <c r="C22" s="269">
        <f>IF('PROPERTY DATA'!D$29="Y",+W420,IF($A22&gt;('PROPERTY DATA'!$D$27+'PROPERTY DATA'!$D$26+'PROPERTY DATA'!$D$25+'PROPERTY DATA'!$D$24),+'PROPERTY DATA'!$D$23,IF($A22&gt;('PROPERTY DATA'!$D$26+'PROPERTY DATA'!$D$25+'PROPERTY DATA'!$D$24),+'PROPERTY DATA'!$D$22,IF($A22&gt;('PROPERTY DATA'!$D$25+'PROPERTY DATA'!$D$24),+'PROPERTY DATA'!$D$21,IF($A22&gt;'PROPERTY DATA'!$D$24,+'PROPERTY DATA'!$D$20,+C21)))))</f>
        <v>0.1</v>
      </c>
      <c r="D22" s="270">
        <f>IF('PROPERTY DATA'!D$29="Y",+V420,IF(A22&gt;$A$42,0,IF(SUM(D$13:D21)&gt;$D$42,0,+D21*((1-C21)^0.5)*((1-C22)^0.5))))</f>
        <v>4866.35316178422</v>
      </c>
      <c r="E22" s="271">
        <f>+E21*(1+'LTC RULES'!D$9)</f>
        <v>67.570248202062899</v>
      </c>
      <c r="F22" s="272">
        <f>+E22*D22*(1-('PROPERTY DATA'!$D$54+'PROPERTY DATA'!$D$56))*('PROPERTY DATA'!$D$15)</f>
        <v>209623.19050016644</v>
      </c>
      <c r="G22" s="412">
        <f>IF('PROPERTY DATA'!D$46="Y",+AL420,IF($A22&gt;('PROPERTY DATA'!$D$44+'PROPERTY DATA'!$D$43+'PROPERTY DATA'!$D$42+'PROPERTY DATA'!$D$41),+'PROPERTY DATA'!$D$40,IF($A22&gt;('PROPERTY DATA'!$D$43+'PROPERTY DATA'!$D$42+'PROPERTY DATA'!$D$41),+'PROPERTY DATA'!$D$39,IF($A22&gt;('PROPERTY DATA'!$D$42+'PROPERTY DATA'!$D$41),+'PROPERTY DATA'!$D$38,IF($A22&gt;'PROPERTY DATA'!$D$41,+'PROPERTY DATA'!$D$37,+G21)))))</f>
        <v>0.15</v>
      </c>
      <c r="H22" s="270">
        <f>IF('PROPERTY DATA'!D$46="Y",+AK420,IF(A22&gt;$A$42,0,IF(SUM(H$13:H21)&gt;$H$42,0,+H21*((1-G21)^0.5)*((1-G22)^0.5))))</f>
        <v>20067.63644798622</v>
      </c>
      <c r="I22" s="271">
        <f>+I21*(1+'LTC RULES'!D$15)</f>
        <v>4.3935379461457487</v>
      </c>
      <c r="J22" s="272">
        <f>+I22*H22*(1-('PROPERTY DATA'!$D$55+'PROPERTY DATA'!$D$56))*('PROPERTY DATA'!$D$15)</f>
        <v>59513.347500987344</v>
      </c>
      <c r="K22" s="273">
        <f t="shared" si="0"/>
        <v>269136.53800115379</v>
      </c>
      <c r="L22" s="274">
        <f t="shared" si="5"/>
        <v>189213.1972702546</v>
      </c>
      <c r="M22" s="275">
        <f>IF(A22='PROPERTY DATA'!D$68,+'PROPERTY DATA'!D$58,IF(A22='PROPERTY DATA'!D$69,+'PROPERTY DATA'!D$59,IF(A22='PROPERTY DATA'!D$70,'PROPERTY DATA'!D$60,IF(A22='PROPERTY DATA'!D$71,+'PROPERTY DATA'!D$61,IF(A22='PROPERTY DATA'!D$72,+'PROPERTY DATA'!D$62,IF(A22='PROPERTY DATA'!D$73,+'PROPERTY DATA'!D$63,IF(A22='PROPERTY DATA'!D$74,+'PROPERTY DATA'!D$64,IF(A22='PROPERTY DATA'!D$75,+'PROPERTY DATA'!D$65,IF(A22='PROPERTY DATA'!D$76,+'PROPERTY DATA'!D$66,IF(A22='PROPERTY DATA'!D$77,'PROPERTY DATA'!D$67,0))))))))))</f>
        <v>0</v>
      </c>
      <c r="N22" s="272">
        <f t="shared" si="1"/>
        <v>189213.1972702546</v>
      </c>
      <c r="O22" s="273">
        <f t="shared" si="2"/>
        <v>79923.340730899188</v>
      </c>
      <c r="P22" s="276">
        <f>1/((1+'LTC RULES'!$D$16)^(A22-0.5))</f>
        <v>0.26507606602942513</v>
      </c>
      <c r="Q22" s="273">
        <f t="shared" si="3"/>
        <v>21185.764744876076</v>
      </c>
      <c r="S22" s="321"/>
    </row>
    <row r="23" spans="1:19" ht="21.95" customHeight="1">
      <c r="A23" s="257">
        <v>11</v>
      </c>
      <c r="B23" s="268">
        <f t="shared" si="4"/>
        <v>2034</v>
      </c>
      <c r="C23" s="269">
        <f>IF('PROPERTY DATA'!D$29="Y",+W421,IF($A23&gt;('PROPERTY DATA'!$D$27+'PROPERTY DATA'!$D$26+'PROPERTY DATA'!$D$25+'PROPERTY DATA'!$D$24),+'PROPERTY DATA'!$D$23,IF($A23&gt;('PROPERTY DATA'!$D$26+'PROPERTY DATA'!$D$25+'PROPERTY DATA'!$D$24),+'PROPERTY DATA'!$D$22,IF($A23&gt;('PROPERTY DATA'!$D$25+'PROPERTY DATA'!$D$24),+'PROPERTY DATA'!$D$21,IF($A23&gt;'PROPERTY DATA'!$D$24,+'PROPERTY DATA'!$D$20,+C22)))))</f>
        <v>0.1</v>
      </c>
      <c r="D23" s="270">
        <f>IF('PROPERTY DATA'!D$29="Y",+V421,IF(A23&gt;$A$42,0,IF(SUM(D$13:D22)&gt;$D$42,0,+D22*((1-C22)^0.5)*((1-C23)^0.5))))</f>
        <v>4379.7178456057982</v>
      </c>
      <c r="E23" s="271">
        <f>+E22*(1+'LTC RULES'!D$9)</f>
        <v>67.570248202062899</v>
      </c>
      <c r="F23" s="272">
        <f>+E23*D23*(1-('PROPERTY DATA'!$D$54+'PROPERTY DATA'!$D$56))*('PROPERTY DATA'!$D$15)</f>
        <v>188660.8714501498</v>
      </c>
      <c r="G23" s="412">
        <f>IF('PROPERTY DATA'!D$46="Y",+AL421,IF($A23&gt;('PROPERTY DATA'!$D$44+'PROPERTY DATA'!$D$43+'PROPERTY DATA'!$D$42+'PROPERTY DATA'!$D$41),+'PROPERTY DATA'!$D$40,IF($A23&gt;('PROPERTY DATA'!$D$43+'PROPERTY DATA'!$D$42+'PROPERTY DATA'!$D$41),+'PROPERTY DATA'!$D$39,IF($A23&gt;('PROPERTY DATA'!$D$42+'PROPERTY DATA'!$D$41),+'PROPERTY DATA'!$D$38,IF($A23&gt;'PROPERTY DATA'!$D$41,+'PROPERTY DATA'!$D$37,+G22)))))</f>
        <v>0.15</v>
      </c>
      <c r="H23" s="270">
        <f>IF('PROPERTY DATA'!D$46="Y",+AK421,IF(A23&gt;$A$42,0,IF(SUM(H$13:H22)&gt;$H$42,0,+H22*((1-G22)^0.5)*((1-G23)^0.5))))</f>
        <v>17057.490980788287</v>
      </c>
      <c r="I23" s="271">
        <f>+I22*(1+'LTC RULES'!D$15)</f>
        <v>4.3935379461457487</v>
      </c>
      <c r="J23" s="272">
        <f>+I23*H23*(1-('PROPERTY DATA'!$D$55+'PROPERTY DATA'!$D$56))*('PROPERTY DATA'!$D$15)</f>
        <v>50586.345375839242</v>
      </c>
      <c r="K23" s="273">
        <f t="shared" si="0"/>
        <v>239247.21682598905</v>
      </c>
      <c r="L23" s="274">
        <f t="shared" si="5"/>
        <v>189213.1972702546</v>
      </c>
      <c r="M23" s="275">
        <f>IF(A23='PROPERTY DATA'!D$68,+'PROPERTY DATA'!D$58,IF(A23='PROPERTY DATA'!D$69,+'PROPERTY DATA'!D$59,IF(A23='PROPERTY DATA'!D$70,'PROPERTY DATA'!D$60,IF(A23='PROPERTY DATA'!D$71,+'PROPERTY DATA'!D$61,IF(A23='PROPERTY DATA'!D$72,+'PROPERTY DATA'!D$62,IF(A23='PROPERTY DATA'!D$73,+'PROPERTY DATA'!D$63,IF(A23='PROPERTY DATA'!D$74,+'PROPERTY DATA'!D$64,IF(A23='PROPERTY DATA'!D$75,+'PROPERTY DATA'!D$65,IF(A23='PROPERTY DATA'!D$76,+'PROPERTY DATA'!D$66,IF(A23='PROPERTY DATA'!D$77,'PROPERTY DATA'!D$67,0))))))))))</f>
        <v>0</v>
      </c>
      <c r="N23" s="272">
        <f t="shared" si="1"/>
        <v>189213.1972702546</v>
      </c>
      <c r="O23" s="273">
        <f t="shared" si="2"/>
        <v>50034.019555734441</v>
      </c>
      <c r="P23" s="276">
        <f>1/((1+'LTC RULES'!$D$16)^(A23-0.5))</f>
        <v>0.23050092698210878</v>
      </c>
      <c r="Q23" s="273">
        <f t="shared" si="3"/>
        <v>11532.887888237747</v>
      </c>
      <c r="S23" s="321"/>
    </row>
    <row r="24" spans="1:19" ht="15.05" customHeight="1">
      <c r="A24" s="257">
        <v>12</v>
      </c>
      <c r="B24" s="268">
        <f t="shared" si="4"/>
        <v>2035</v>
      </c>
      <c r="C24" s="269">
        <f>IF('PROPERTY DATA'!D$29="Y",+W422,IF($A24&gt;('PROPERTY DATA'!$D$27+'PROPERTY DATA'!$D$26+'PROPERTY DATA'!$D$25+'PROPERTY DATA'!$D$24),+'PROPERTY DATA'!$D$23,IF($A24&gt;('PROPERTY DATA'!$D$26+'PROPERTY DATA'!$D$25+'PROPERTY DATA'!$D$24),+'PROPERTY DATA'!$D$22,IF($A24&gt;('PROPERTY DATA'!$D$25+'PROPERTY DATA'!$D$24),+'PROPERTY DATA'!$D$21,IF($A24&gt;'PROPERTY DATA'!$D$24,+'PROPERTY DATA'!$D$20,+C23)))))</f>
        <v>0.1</v>
      </c>
      <c r="D24" s="270">
        <f>IF('PROPERTY DATA'!D$29="Y",+V422,IF(A24&gt;$A$42,0,IF(SUM(D$13:D23)&gt;$D$42,0,+D23*((1-C23)^0.5)*((1-C24)^0.5))))</f>
        <v>3941.7460610452176</v>
      </c>
      <c r="E24" s="271">
        <f>+E23*(1+'LTC RULES'!D$9)</f>
        <v>67.570248202062899</v>
      </c>
      <c r="F24" s="272">
        <f>+E24*D24*(1-('PROPERTY DATA'!$D$54+'PROPERTY DATA'!$D$56))*('PROPERTY DATA'!$D$15)</f>
        <v>169794.78430513482</v>
      </c>
      <c r="G24" s="412">
        <f>IF('PROPERTY DATA'!D$46="Y",+AL422,IF($A24&gt;('PROPERTY DATA'!$D$44+'PROPERTY DATA'!$D$43+'PROPERTY DATA'!$D$42+'PROPERTY DATA'!$D$41),+'PROPERTY DATA'!$D$40,IF($A24&gt;('PROPERTY DATA'!$D$43+'PROPERTY DATA'!$D$42+'PROPERTY DATA'!$D$41),+'PROPERTY DATA'!$D$39,IF($A24&gt;('PROPERTY DATA'!$D$42+'PROPERTY DATA'!$D$41),+'PROPERTY DATA'!$D$38,IF($A24&gt;'PROPERTY DATA'!$D$41,+'PROPERTY DATA'!$D$37,+G23)))))</f>
        <v>0.15</v>
      </c>
      <c r="H24" s="270">
        <f>IF('PROPERTY DATA'!D$46="Y",+AK422,IF(A24&gt;$A$42,0,IF(SUM(H$13:H23)&gt;$H$42,0,+H23*((1-G23)^0.5)*((1-G24)^0.5))))</f>
        <v>14498.867333670045</v>
      </c>
      <c r="I24" s="271">
        <f>+I23*(1+'LTC RULES'!D$15)</f>
        <v>4.3935379461457487</v>
      </c>
      <c r="J24" s="272">
        <f>+I24*H24*(1-('PROPERTY DATA'!$D$55+'PROPERTY DATA'!$D$56))*('PROPERTY DATA'!$D$15)</f>
        <v>42998.393569463355</v>
      </c>
      <c r="K24" s="273">
        <f t="shared" si="0"/>
        <v>212793.17787459819</v>
      </c>
      <c r="L24" s="274">
        <f t="shared" si="5"/>
        <v>189213.1972702546</v>
      </c>
      <c r="M24" s="275">
        <f>IF(A24='PROPERTY DATA'!D$68,+'PROPERTY DATA'!D$58,IF(A24='PROPERTY DATA'!D$69,+'PROPERTY DATA'!D$59,IF(A24='PROPERTY DATA'!D$70,'PROPERTY DATA'!D$60,IF(A24='PROPERTY DATA'!D$71,+'PROPERTY DATA'!D$61,IF(A24='PROPERTY DATA'!D$72,+'PROPERTY DATA'!D$62,IF(A24='PROPERTY DATA'!D$73,+'PROPERTY DATA'!D$63,IF(A24='PROPERTY DATA'!D$74,+'PROPERTY DATA'!D$64,IF(A24='PROPERTY DATA'!D$75,+'PROPERTY DATA'!D$65,IF(A24='PROPERTY DATA'!D$76,+'PROPERTY DATA'!D$66,IF(A24='PROPERTY DATA'!D$77,'PROPERTY DATA'!D$67,0))))))))))</f>
        <v>0</v>
      </c>
      <c r="N24" s="272">
        <f t="shared" si="1"/>
        <v>189213.1972702546</v>
      </c>
      <c r="O24" s="273">
        <f t="shared" si="2"/>
        <v>23579.980604343582</v>
      </c>
      <c r="P24" s="276">
        <f>1/((1+'LTC RULES'!$D$16)^(A24-0.5))</f>
        <v>0.20043558868009465</v>
      </c>
      <c r="Q24" s="273">
        <f t="shared" si="3"/>
        <v>4726.2672934968195</v>
      </c>
      <c r="S24" s="321"/>
    </row>
    <row r="25" spans="1:19" ht="15.05" customHeight="1">
      <c r="A25" s="257">
        <v>13</v>
      </c>
      <c r="B25" s="268">
        <f t="shared" si="4"/>
        <v>2036</v>
      </c>
      <c r="C25" s="269">
        <f>IF('PROPERTY DATA'!D$29="Y",+W423,IF($A25&gt;('PROPERTY DATA'!$D$27+'PROPERTY DATA'!$D$26+'PROPERTY DATA'!$D$25+'PROPERTY DATA'!$D$24),+'PROPERTY DATA'!$D$23,IF($A25&gt;('PROPERTY DATA'!$D$26+'PROPERTY DATA'!$D$25+'PROPERTY DATA'!$D$24),+'PROPERTY DATA'!$D$22,IF($A25&gt;('PROPERTY DATA'!$D$25+'PROPERTY DATA'!$D$24),+'PROPERTY DATA'!$D$21,IF($A25&gt;'PROPERTY DATA'!$D$24,+'PROPERTY DATA'!$D$20,+C24)))))</f>
        <v>0.1</v>
      </c>
      <c r="D25" s="270">
        <f>IF('PROPERTY DATA'!D$29="Y",+V423,IF(A25&gt;$A$42,0,IF(SUM(D$13:D24)&gt;$D$42,0,+D24*((1-C24)^0.5)*((1-C25)^0.5))))</f>
        <v>3547.5714549406957</v>
      </c>
      <c r="E25" s="271">
        <f>+E24*(1+'LTC RULES'!D$9)</f>
        <v>67.570248202062899</v>
      </c>
      <c r="F25" s="272">
        <f>+E25*D25*(1-('PROPERTY DATA'!$D$54+'PROPERTY DATA'!$D$56))*('PROPERTY DATA'!$D$15)</f>
        <v>152815.30587462132</v>
      </c>
      <c r="G25" s="412">
        <f>IF('PROPERTY DATA'!D$46="Y",+AL423,IF($A25&gt;('PROPERTY DATA'!$D$44+'PROPERTY DATA'!$D$43+'PROPERTY DATA'!$D$42+'PROPERTY DATA'!$D$41),+'PROPERTY DATA'!$D$40,IF($A25&gt;('PROPERTY DATA'!$D$43+'PROPERTY DATA'!$D$42+'PROPERTY DATA'!$D$41),+'PROPERTY DATA'!$D$39,IF($A25&gt;('PROPERTY DATA'!$D$42+'PROPERTY DATA'!$D$41),+'PROPERTY DATA'!$D$38,IF($A25&gt;'PROPERTY DATA'!$D$41,+'PROPERTY DATA'!$D$37,+G24)))))</f>
        <v>0.15</v>
      </c>
      <c r="H25" s="270">
        <f>IF('PROPERTY DATA'!D$46="Y",+AK423,IF(A25&gt;$A$42,0,IF(SUM(H$13:H24)&gt;$H$42,0,+H24*((1-G24)^0.5)*((1-G25)^0.5))))</f>
        <v>12324.03723361954</v>
      </c>
      <c r="I25" s="271">
        <f>+I24*(1+'LTC RULES'!D$15)</f>
        <v>4.3935379461457487</v>
      </c>
      <c r="J25" s="272">
        <f>+I25*H25*(1-('PROPERTY DATA'!$D$55+'PROPERTY DATA'!$D$56))*('PROPERTY DATA'!$D$15)</f>
        <v>36548.634534043857</v>
      </c>
      <c r="K25" s="273">
        <f t="shared" si="0"/>
        <v>189363.94040866516</v>
      </c>
      <c r="L25" s="274">
        <f t="shared" si="5"/>
        <v>189213.1972702546</v>
      </c>
      <c r="M25" s="275">
        <f>IF(A25='PROPERTY DATA'!D$68,+'PROPERTY DATA'!D$58,IF(A25='PROPERTY DATA'!D$69,+'PROPERTY DATA'!D$59,IF(A25='PROPERTY DATA'!D$70,'PROPERTY DATA'!D$60,IF(A25='PROPERTY DATA'!D$71,+'PROPERTY DATA'!D$61,IF(A25='PROPERTY DATA'!D$72,+'PROPERTY DATA'!D$62,IF(A25='PROPERTY DATA'!D$73,+'PROPERTY DATA'!D$63,IF(A25='PROPERTY DATA'!D$74,+'PROPERTY DATA'!D$64,IF(A25='PROPERTY DATA'!D$75,+'PROPERTY DATA'!D$65,IF(A25='PROPERTY DATA'!D$76,+'PROPERTY DATA'!D$66,IF(A25='PROPERTY DATA'!D$77,'PROPERTY DATA'!D$67,0))))))))))</f>
        <v>0</v>
      </c>
      <c r="N25" s="272">
        <f t="shared" si="1"/>
        <v>189213.1972702546</v>
      </c>
      <c r="O25" s="273">
        <f t="shared" si="2"/>
        <v>150.74313841055846</v>
      </c>
      <c r="P25" s="276">
        <f>1/((1+'LTC RULES'!$D$16)^(A25-0.5))</f>
        <v>0.17429181624356058</v>
      </c>
      <c r="Q25" s="273">
        <f t="shared" si="3"/>
        <v>26.273295379830675</v>
      </c>
      <c r="S25" s="321"/>
    </row>
    <row r="26" spans="1:19" ht="15.05" customHeight="1">
      <c r="A26" s="257">
        <v>14</v>
      </c>
      <c r="B26" s="268">
        <f t="shared" si="4"/>
        <v>2037</v>
      </c>
      <c r="C26" s="269">
        <f>IF('PROPERTY DATA'!D$29="Y",+W424,IF($A26&gt;('PROPERTY DATA'!$D$27+'PROPERTY DATA'!$D$26+'PROPERTY DATA'!$D$25+'PROPERTY DATA'!$D$24),+'PROPERTY DATA'!$D$23,IF($A26&gt;('PROPERTY DATA'!$D$26+'PROPERTY DATA'!$D$25+'PROPERTY DATA'!$D$24),+'PROPERTY DATA'!$D$22,IF($A26&gt;('PROPERTY DATA'!$D$25+'PROPERTY DATA'!$D$24),+'PROPERTY DATA'!$D$21,IF($A26&gt;'PROPERTY DATA'!$D$24,+'PROPERTY DATA'!$D$20,+C25)))))</f>
        <v>0.1</v>
      </c>
      <c r="D26" s="270">
        <f>IF('PROPERTY DATA'!D$29="Y",+V424,IF(A26&gt;$A$42,0,IF(SUM(D$13:D25)&gt;$D$42,0,+D25*((1-C25)^0.5)*((1-C26)^0.5))))</f>
        <v>3192.8143094466259</v>
      </c>
      <c r="E26" s="271">
        <f>+E25*(1+'LTC RULES'!D$9)</f>
        <v>67.570248202062899</v>
      </c>
      <c r="F26" s="272">
        <f>+E26*D26*(1-('PROPERTY DATA'!$D$54+'PROPERTY DATA'!$D$56))*('PROPERTY DATA'!$D$15)</f>
        <v>137533.77528715919</v>
      </c>
      <c r="G26" s="412">
        <f>IF('PROPERTY DATA'!D$46="Y",+AL424,IF($A26&gt;('PROPERTY DATA'!$D$44+'PROPERTY DATA'!$D$43+'PROPERTY DATA'!$D$42+'PROPERTY DATA'!$D$41),+'PROPERTY DATA'!$D$40,IF($A26&gt;('PROPERTY DATA'!$D$43+'PROPERTY DATA'!$D$42+'PROPERTY DATA'!$D$41),+'PROPERTY DATA'!$D$39,IF($A26&gt;('PROPERTY DATA'!$D$42+'PROPERTY DATA'!$D$41),+'PROPERTY DATA'!$D$38,IF($A26&gt;'PROPERTY DATA'!$D$41,+'PROPERTY DATA'!$D$37,+G25)))))</f>
        <v>0.15</v>
      </c>
      <c r="H26" s="270">
        <f>IF('PROPERTY DATA'!D$46="Y",+AK424,IF(A26&gt;$A$42,0,IF(SUM(H$13:H25)&gt;$H$42,0,+H25*((1-G25)^0.5)*((1-G26)^0.5))))</f>
        <v>10475.43164857661</v>
      </c>
      <c r="I26" s="271">
        <f>+I25*(1+'LTC RULES'!D$15)</f>
        <v>4.3935379461457487</v>
      </c>
      <c r="J26" s="272">
        <f>+I26*H26*(1-('PROPERTY DATA'!$D$55+'PROPERTY DATA'!$D$56))*('PROPERTY DATA'!$D$15)</f>
        <v>31066.339353937285</v>
      </c>
      <c r="K26" s="273">
        <f t="shared" si="0"/>
        <v>168600.11464109647</v>
      </c>
      <c r="L26" s="274">
        <f t="shared" si="5"/>
        <v>189213.1972702546</v>
      </c>
      <c r="M26" s="275">
        <f>IF(A26='PROPERTY DATA'!D$68,+'PROPERTY DATA'!D$58,IF(A26='PROPERTY DATA'!D$69,+'PROPERTY DATA'!D$59,IF(A26='PROPERTY DATA'!D$70,'PROPERTY DATA'!D$60,IF(A26='PROPERTY DATA'!D$71,+'PROPERTY DATA'!D$61,IF(A26='PROPERTY DATA'!D$72,+'PROPERTY DATA'!D$62,IF(A26='PROPERTY DATA'!D$73,+'PROPERTY DATA'!D$63,IF(A26='PROPERTY DATA'!D$74,+'PROPERTY DATA'!D$64,IF(A26='PROPERTY DATA'!D$75,+'PROPERTY DATA'!D$65,IF(A26='PROPERTY DATA'!D$76,+'PROPERTY DATA'!D$66,IF(A26='PROPERTY DATA'!D$77,'PROPERTY DATA'!D$67,0))))))))))</f>
        <v>0</v>
      </c>
      <c r="N26" s="272">
        <f t="shared" si="1"/>
        <v>189213.1972702546</v>
      </c>
      <c r="O26" s="273">
        <f t="shared" si="2"/>
        <v>-20613.082629158132</v>
      </c>
      <c r="P26" s="276">
        <f>1/((1+'LTC RULES'!$D$16)^(A26-0.5))</f>
        <v>0.15155810108135703</v>
      </c>
      <c r="Q26" s="273">
        <f t="shared" si="3"/>
        <v>-3124.079660708313</v>
      </c>
      <c r="S26" s="321"/>
    </row>
    <row r="27" spans="1:19" ht="15.05" customHeight="1">
      <c r="A27" s="257">
        <v>15</v>
      </c>
      <c r="B27" s="268">
        <f t="shared" si="4"/>
        <v>2038</v>
      </c>
      <c r="C27" s="269">
        <f>IF('PROPERTY DATA'!D$29="Y",+W425,IF($A27&gt;('PROPERTY DATA'!$D$27+'PROPERTY DATA'!$D$26+'PROPERTY DATA'!$D$25+'PROPERTY DATA'!$D$24),+'PROPERTY DATA'!$D$23,IF($A27&gt;('PROPERTY DATA'!$D$26+'PROPERTY DATA'!$D$25+'PROPERTY DATA'!$D$24),+'PROPERTY DATA'!$D$22,IF($A27&gt;('PROPERTY DATA'!$D$25+'PROPERTY DATA'!$D$24),+'PROPERTY DATA'!$D$21,IF($A27&gt;'PROPERTY DATA'!$D$24,+'PROPERTY DATA'!$D$20,+C26)))))</f>
        <v>0.1</v>
      </c>
      <c r="D27" s="270">
        <f>IF('PROPERTY DATA'!D$29="Y",+V425,IF(A27&gt;$A$42,0,IF(SUM(D$13:D26)&gt;$D$42,0,+D26*((1-C26)^0.5)*((1-C27)^0.5))))</f>
        <v>2873.5328785019628</v>
      </c>
      <c r="E27" s="271">
        <f>+E26*(1+'LTC RULES'!D$9)</f>
        <v>67.570248202062899</v>
      </c>
      <c r="F27" s="272">
        <f>+E27*D27*(1-('PROPERTY DATA'!$D$54+'PROPERTY DATA'!$D$56))*('PROPERTY DATA'!$D$15)</f>
        <v>123780.39775844326</v>
      </c>
      <c r="G27" s="412">
        <f>IF('PROPERTY DATA'!D$46="Y",+AL425,IF($A27&gt;('PROPERTY DATA'!$D$44+'PROPERTY DATA'!$D$43+'PROPERTY DATA'!$D$42+'PROPERTY DATA'!$D$41),+'PROPERTY DATA'!$D$40,IF($A27&gt;('PROPERTY DATA'!$D$43+'PROPERTY DATA'!$D$42+'PROPERTY DATA'!$D$41),+'PROPERTY DATA'!$D$39,IF($A27&gt;('PROPERTY DATA'!$D$42+'PROPERTY DATA'!$D$41),+'PROPERTY DATA'!$D$38,IF($A27&gt;'PROPERTY DATA'!$D$41,+'PROPERTY DATA'!$D$37,+G26)))))</f>
        <v>0.15</v>
      </c>
      <c r="H27" s="270">
        <f>IF('PROPERTY DATA'!D$46="Y",+AK425,IF(A27&gt;$A$42,0,IF(SUM(H$13:H26)&gt;$H$42,0,+H26*((1-G26)^0.5)*((1-G27)^0.5))))</f>
        <v>8904.1169012901191</v>
      </c>
      <c r="I27" s="271">
        <f>+I26*(1+'LTC RULES'!D$15)</f>
        <v>4.3935379461457487</v>
      </c>
      <c r="J27" s="272">
        <f>+I27*H27*(1-('PROPERTY DATA'!$D$55+'PROPERTY DATA'!$D$56))*('PROPERTY DATA'!$D$15)</f>
        <v>26406.388450846694</v>
      </c>
      <c r="K27" s="273">
        <f t="shared" si="0"/>
        <v>150186.78620928994</v>
      </c>
      <c r="L27" s="274">
        <f t="shared" si="5"/>
        <v>189213.1972702546</v>
      </c>
      <c r="M27" s="275">
        <f>IF(A27='PROPERTY DATA'!D$68,+'PROPERTY DATA'!D$58,IF(A27='PROPERTY DATA'!D$69,+'PROPERTY DATA'!D$59,IF(A27='PROPERTY DATA'!D$70,'PROPERTY DATA'!D$60,IF(A27='PROPERTY DATA'!D$71,+'PROPERTY DATA'!D$61,IF(A27='PROPERTY DATA'!D$72,+'PROPERTY DATA'!D$62,IF(A27='PROPERTY DATA'!D$73,+'PROPERTY DATA'!D$63,IF(A27='PROPERTY DATA'!D$74,+'PROPERTY DATA'!D$64,IF(A27='PROPERTY DATA'!D$75,+'PROPERTY DATA'!D$65,IF(A27='PROPERTY DATA'!D$76,+'PROPERTY DATA'!D$66,IF(A27='PROPERTY DATA'!D$77,'PROPERTY DATA'!D$67,0))))))))))</f>
        <v>0</v>
      </c>
      <c r="N27" s="272">
        <f t="shared" si="1"/>
        <v>189213.1972702546</v>
      </c>
      <c r="O27" s="273">
        <f t="shared" si="2"/>
        <v>-39026.41106096466</v>
      </c>
      <c r="P27" s="276">
        <f>1/((1+'LTC RULES'!$D$16)^(A27-0.5))</f>
        <v>0.13178965311422353</v>
      </c>
      <c r="Q27" s="273">
        <f t="shared" si="3"/>
        <v>-5143.2771760176283</v>
      </c>
      <c r="S27" s="321"/>
    </row>
    <row r="28" spans="1:19" ht="21.95" customHeight="1">
      <c r="A28" s="257">
        <v>16</v>
      </c>
      <c r="B28" s="268">
        <f t="shared" si="4"/>
        <v>2039</v>
      </c>
      <c r="C28" s="269">
        <f>IF('PROPERTY DATA'!D$29="Y",+W426,IF($A28&gt;('PROPERTY DATA'!$D$27+'PROPERTY DATA'!$D$26+'PROPERTY DATA'!$D$25+'PROPERTY DATA'!$D$24),+'PROPERTY DATA'!$D$23,IF($A28&gt;('PROPERTY DATA'!$D$26+'PROPERTY DATA'!$D$25+'PROPERTY DATA'!$D$24),+'PROPERTY DATA'!$D$22,IF($A28&gt;('PROPERTY DATA'!$D$25+'PROPERTY DATA'!$D$24),+'PROPERTY DATA'!$D$21,IF($A28&gt;'PROPERTY DATA'!$D$24,+'PROPERTY DATA'!$D$20,+C27)))))</f>
        <v>0.1</v>
      </c>
      <c r="D28" s="270">
        <f>IF('PROPERTY DATA'!D$29="Y",+V426,IF(A28&gt;$A$42,0,IF(SUM(D$13:D27)&gt;$D$42,0,+D27*((1-C27)^0.5)*((1-C28)^0.5))))</f>
        <v>2586.1795906517664</v>
      </c>
      <c r="E28" s="271">
        <f>+E27*(1+'LTC RULES'!D$9)</f>
        <v>67.570248202062899</v>
      </c>
      <c r="F28" s="272">
        <f>+E28*D28*(1-('PROPERTY DATA'!$D$54+'PROPERTY DATA'!$D$56))*('PROPERTY DATA'!$D$15)</f>
        <v>111402.35798259891</v>
      </c>
      <c r="G28" s="412">
        <f>IF('PROPERTY DATA'!D$46="Y",+AL426,IF($A28&gt;('PROPERTY DATA'!$D$44+'PROPERTY DATA'!$D$43+'PROPERTY DATA'!$D$42+'PROPERTY DATA'!$D$41),+'PROPERTY DATA'!$D$40,IF($A28&gt;('PROPERTY DATA'!$D$43+'PROPERTY DATA'!$D$42+'PROPERTY DATA'!$D$41),+'PROPERTY DATA'!$D$39,IF($A28&gt;('PROPERTY DATA'!$D$42+'PROPERTY DATA'!$D$41),+'PROPERTY DATA'!$D$38,IF($A28&gt;'PROPERTY DATA'!$D$41,+'PROPERTY DATA'!$D$37,+G27)))))</f>
        <v>0.15</v>
      </c>
      <c r="H28" s="270">
        <f>IF('PROPERTY DATA'!D$46="Y",+AK426,IF(A28&gt;$A$42,0,IF(SUM(H$13:H27)&gt;$H$42,0,+H27*((1-G27)^0.5)*((1-G28)^0.5))))</f>
        <v>7568.499366096602</v>
      </c>
      <c r="I28" s="271">
        <f>+I27*(1+'LTC RULES'!D$15)</f>
        <v>4.3935379461457487</v>
      </c>
      <c r="J28" s="272">
        <f>+I28*H28*(1-('PROPERTY DATA'!$D$55+'PROPERTY DATA'!$D$56))*('PROPERTY DATA'!$D$15)</f>
        <v>22445.430183219691</v>
      </c>
      <c r="K28" s="273">
        <f t="shared" si="0"/>
        <v>133847.78816581861</v>
      </c>
      <c r="L28" s="274">
        <f t="shared" si="5"/>
        <v>189213.1972702546</v>
      </c>
      <c r="M28" s="275">
        <f>IF(A28='PROPERTY DATA'!D$68,+'PROPERTY DATA'!D$58,IF(A28='PROPERTY DATA'!D$69,+'PROPERTY DATA'!D$59,IF(A28='PROPERTY DATA'!D$70,'PROPERTY DATA'!D$60,IF(A28='PROPERTY DATA'!D$71,+'PROPERTY DATA'!D$61,IF(A28='PROPERTY DATA'!D$72,+'PROPERTY DATA'!D$62,IF(A28='PROPERTY DATA'!D$73,+'PROPERTY DATA'!D$63,IF(A28='PROPERTY DATA'!D$74,+'PROPERTY DATA'!D$64,IF(A28='PROPERTY DATA'!D$75,+'PROPERTY DATA'!D$65,IF(A28='PROPERTY DATA'!D$76,+'PROPERTY DATA'!D$66,IF(A28='PROPERTY DATA'!D$77,'PROPERTY DATA'!D$67,0))))))))))</f>
        <v>0</v>
      </c>
      <c r="N28" s="272">
        <f t="shared" si="1"/>
        <v>189213.1972702546</v>
      </c>
      <c r="O28" s="273">
        <f t="shared" si="2"/>
        <v>-55365.409104435996</v>
      </c>
      <c r="P28" s="276">
        <f>1/((1+'LTC RULES'!$D$16)^(A28-0.5))</f>
        <v>0.11459969836019435</v>
      </c>
      <c r="Q28" s="273">
        <f t="shared" si="3"/>
        <v>-6344.8591829571233</v>
      </c>
      <c r="S28" s="321"/>
    </row>
    <row r="29" spans="1:19" ht="15.05" customHeight="1">
      <c r="A29" s="257">
        <v>17</v>
      </c>
      <c r="B29" s="268">
        <f t="shared" si="4"/>
        <v>2040</v>
      </c>
      <c r="C29" s="269">
        <f>IF('PROPERTY DATA'!D$29="Y",+W427,IF($A29&gt;('PROPERTY DATA'!$D$27+'PROPERTY DATA'!$D$26+'PROPERTY DATA'!$D$25+'PROPERTY DATA'!$D$24),+'PROPERTY DATA'!$D$23,IF($A29&gt;('PROPERTY DATA'!$D$26+'PROPERTY DATA'!$D$25+'PROPERTY DATA'!$D$24),+'PROPERTY DATA'!$D$22,IF($A29&gt;('PROPERTY DATA'!$D$25+'PROPERTY DATA'!$D$24),+'PROPERTY DATA'!$D$21,IF($A29&gt;'PROPERTY DATA'!$D$24,+'PROPERTY DATA'!$D$20,+C28)))))</f>
        <v>0.1</v>
      </c>
      <c r="D29" s="270">
        <f>IF('PROPERTY DATA'!D$29="Y",+V427,IF(A29&gt;$A$42,0,IF(SUM(D$13:D28)&gt;$D$42,0,+D28*((1-C28)^0.5)*((1-C29)^0.5))))</f>
        <v>2327.5616315865896</v>
      </c>
      <c r="E29" s="271">
        <f>+E28*(1+'LTC RULES'!D$9)</f>
        <v>67.570248202062899</v>
      </c>
      <c r="F29" s="272">
        <f>+E29*D29*(1-('PROPERTY DATA'!$D$54+'PROPERTY DATA'!$D$56))*('PROPERTY DATA'!$D$15)</f>
        <v>100262.12218433902</v>
      </c>
      <c r="G29" s="412">
        <f>IF('PROPERTY DATA'!D$46="Y",+AL427,IF($A29&gt;('PROPERTY DATA'!$D$44+'PROPERTY DATA'!$D$43+'PROPERTY DATA'!$D$42+'PROPERTY DATA'!$D$41),+'PROPERTY DATA'!$D$40,IF($A29&gt;('PROPERTY DATA'!$D$43+'PROPERTY DATA'!$D$42+'PROPERTY DATA'!$D$41),+'PROPERTY DATA'!$D$39,IF($A29&gt;('PROPERTY DATA'!$D$42+'PROPERTY DATA'!$D$41),+'PROPERTY DATA'!$D$38,IF($A29&gt;'PROPERTY DATA'!$D$41,+'PROPERTY DATA'!$D$37,+G28)))))</f>
        <v>0.15</v>
      </c>
      <c r="H29" s="270">
        <f>IF('PROPERTY DATA'!D$46="Y",+AK427,IF(A29&gt;$A$42,0,IF(SUM(H$13:H28)&gt;$H$42,0,+H28*((1-G28)^0.5)*((1-G29)^0.5))))</f>
        <v>6433.2244611821116</v>
      </c>
      <c r="I29" s="271">
        <f>+I28*(1+'LTC RULES'!D$15)</f>
        <v>4.3935379461457487</v>
      </c>
      <c r="J29" s="272">
        <f>+I29*H29*(1-('PROPERTY DATA'!$D$55+'PROPERTY DATA'!$D$56))*('PROPERTY DATA'!$D$15)</f>
        <v>19078.615655736736</v>
      </c>
      <c r="K29" s="273">
        <f t="shared" si="0"/>
        <v>119340.73784007576</v>
      </c>
      <c r="L29" s="274">
        <f t="shared" si="5"/>
        <v>189213.1972702546</v>
      </c>
      <c r="M29" s="275">
        <f>IF(A29='PROPERTY DATA'!D$68,+'PROPERTY DATA'!D$58,IF(A29='PROPERTY DATA'!D$69,+'PROPERTY DATA'!D$59,IF(A29='PROPERTY DATA'!D$70,'PROPERTY DATA'!D$60,IF(A29='PROPERTY DATA'!D$71,+'PROPERTY DATA'!D$61,IF(A29='PROPERTY DATA'!D$72,+'PROPERTY DATA'!D$62,IF(A29='PROPERTY DATA'!D$73,+'PROPERTY DATA'!D$63,IF(A29='PROPERTY DATA'!D$74,+'PROPERTY DATA'!D$64,IF(A29='PROPERTY DATA'!D$75,+'PROPERTY DATA'!D$65,IF(A29='PROPERTY DATA'!D$76,+'PROPERTY DATA'!D$66,IF(A29='PROPERTY DATA'!D$77,'PROPERTY DATA'!D$67,0))))))))))</f>
        <v>0</v>
      </c>
      <c r="N29" s="272">
        <f t="shared" si="1"/>
        <v>189213.1972702546</v>
      </c>
      <c r="O29" s="273">
        <f t="shared" si="2"/>
        <v>-69872.459430178846</v>
      </c>
      <c r="P29" s="276">
        <f>1/((1+'LTC RULES'!$D$16)^(A29-0.5))</f>
        <v>9.9651911617560346E-2</v>
      </c>
      <c r="Q29" s="273">
        <f t="shared" si="3"/>
        <v>-6962.9241516377533</v>
      </c>
      <c r="S29" s="321"/>
    </row>
    <row r="30" spans="1:19" ht="15.05" customHeight="1">
      <c r="A30" s="257">
        <v>18</v>
      </c>
      <c r="B30" s="268">
        <f t="shared" si="4"/>
        <v>2041</v>
      </c>
      <c r="C30" s="269">
        <f>IF('PROPERTY DATA'!D$29="Y",+W428,IF($A30&gt;('PROPERTY DATA'!$D$27+'PROPERTY DATA'!$D$26+'PROPERTY DATA'!$D$25+'PROPERTY DATA'!$D$24),+'PROPERTY DATA'!$D$23,IF($A30&gt;('PROPERTY DATA'!$D$26+'PROPERTY DATA'!$D$25+'PROPERTY DATA'!$D$24),+'PROPERTY DATA'!$D$22,IF($A30&gt;('PROPERTY DATA'!$D$25+'PROPERTY DATA'!$D$24),+'PROPERTY DATA'!$D$21,IF($A30&gt;'PROPERTY DATA'!$D$24,+'PROPERTY DATA'!$D$20,+C29)))))</f>
        <v>0.1</v>
      </c>
      <c r="D30" s="270">
        <f>IF('PROPERTY DATA'!D$29="Y",+V428,IF(A30&gt;$A$42,0,IF(SUM(D$13:D29)&gt;$D$42,0,+D29*((1-C29)^0.5)*((1-C30)^0.5))))</f>
        <v>2094.8054684279305</v>
      </c>
      <c r="E30" s="271">
        <f>+E29*(1+'LTC RULES'!D$9)</f>
        <v>67.570248202062899</v>
      </c>
      <c r="F30" s="272">
        <f>+E30*D30*(1-('PROPERTY DATA'!$D$54+'PROPERTY DATA'!$D$56))*('PROPERTY DATA'!$D$15)</f>
        <v>90235.909965905099</v>
      </c>
      <c r="G30" s="412">
        <f>IF('PROPERTY DATA'!D$46="Y",+AL428,IF($A30&gt;('PROPERTY DATA'!$D$44+'PROPERTY DATA'!$D$43+'PROPERTY DATA'!$D$42+'PROPERTY DATA'!$D$41),+'PROPERTY DATA'!$D$40,IF($A30&gt;('PROPERTY DATA'!$D$43+'PROPERTY DATA'!$D$42+'PROPERTY DATA'!$D$41),+'PROPERTY DATA'!$D$39,IF($A30&gt;('PROPERTY DATA'!$D$42+'PROPERTY DATA'!$D$41),+'PROPERTY DATA'!$D$38,IF($A30&gt;'PROPERTY DATA'!$D$41,+'PROPERTY DATA'!$D$37,+G29)))))</f>
        <v>0.15</v>
      </c>
      <c r="H30" s="270">
        <f>IF('PROPERTY DATA'!D$46="Y",+AK428,IF(A30&gt;$A$42,0,IF(SUM(H$13:H29)&gt;$H$42,0,+H29*((1-G29)^0.5)*((1-G30)^0.5))))</f>
        <v>5468.2407920047954</v>
      </c>
      <c r="I30" s="271">
        <f>+I29*(1+'LTC RULES'!D$15)</f>
        <v>4.3935379461457487</v>
      </c>
      <c r="J30" s="272">
        <f>+I30*H30*(1-('PROPERTY DATA'!$D$55+'PROPERTY DATA'!$D$56))*('PROPERTY DATA'!$D$15)</f>
        <v>16216.823307376228</v>
      </c>
      <c r="K30" s="273">
        <f t="shared" si="0"/>
        <v>106452.73327328132</v>
      </c>
      <c r="L30" s="274">
        <f t="shared" si="5"/>
        <v>189213.1972702546</v>
      </c>
      <c r="M30" s="275">
        <f>IF(A30='PROPERTY DATA'!D$68,+'PROPERTY DATA'!D$58,IF(A30='PROPERTY DATA'!D$69,+'PROPERTY DATA'!D$59,IF(A30='PROPERTY DATA'!D$70,'PROPERTY DATA'!D$60,IF(A30='PROPERTY DATA'!D$71,+'PROPERTY DATA'!D$61,IF(A30='PROPERTY DATA'!D$72,+'PROPERTY DATA'!D$62,IF(A30='PROPERTY DATA'!D$73,+'PROPERTY DATA'!D$63,IF(A30='PROPERTY DATA'!D$74,+'PROPERTY DATA'!D$64,IF(A30='PROPERTY DATA'!D$75,+'PROPERTY DATA'!D$65,IF(A30='PROPERTY DATA'!D$76,+'PROPERTY DATA'!D$66,IF(A30='PROPERTY DATA'!D$77,'PROPERTY DATA'!D$67,0))))))))))</f>
        <v>0</v>
      </c>
      <c r="N30" s="272">
        <f t="shared" si="1"/>
        <v>189213.1972702546</v>
      </c>
      <c r="O30" s="273">
        <f t="shared" si="2"/>
        <v>-82760.463996973282</v>
      </c>
      <c r="P30" s="276">
        <f>1/((1+'LTC RULES'!$D$16)^(A30-0.5))</f>
        <v>8.665383618918289E-2</v>
      </c>
      <c r="Q30" s="273">
        <f t="shared" si="3"/>
        <v>-7171.5116901344909</v>
      </c>
      <c r="S30" s="321"/>
    </row>
    <row r="31" spans="1:19" ht="15.05" customHeight="1">
      <c r="A31" s="257">
        <v>19</v>
      </c>
      <c r="B31" s="268">
        <f t="shared" si="4"/>
        <v>2042</v>
      </c>
      <c r="C31" s="269">
        <f>IF('PROPERTY DATA'!D$29="Y",+W429,IF($A31&gt;('PROPERTY DATA'!$D$27+'PROPERTY DATA'!$D$26+'PROPERTY DATA'!$D$25+'PROPERTY DATA'!$D$24),+'PROPERTY DATA'!$D$23,IF($A31&gt;('PROPERTY DATA'!$D$26+'PROPERTY DATA'!$D$25+'PROPERTY DATA'!$D$24),+'PROPERTY DATA'!$D$22,IF($A31&gt;('PROPERTY DATA'!$D$25+'PROPERTY DATA'!$D$24),+'PROPERTY DATA'!$D$21,IF($A31&gt;'PROPERTY DATA'!$D$24,+'PROPERTY DATA'!$D$20,+C30)))))</f>
        <v>0.1</v>
      </c>
      <c r="D31" s="270">
        <f>IF('PROPERTY DATA'!D$29="Y",+V429,IF(A31&gt;$A$42,0,IF(SUM(D$13:D30)&gt;$D$42,0,+D30*((1-C30)^0.5)*((1-C31)^0.5))))</f>
        <v>1885.3249215851374</v>
      </c>
      <c r="E31" s="271">
        <f>+E30*(1+'LTC RULES'!D$9)</f>
        <v>67.570248202062899</v>
      </c>
      <c r="F31" s="272">
        <f>+E31*D31*(1-('PROPERTY DATA'!$D$54+'PROPERTY DATA'!$D$56))*('PROPERTY DATA'!$D$15)</f>
        <v>81212.318969314598</v>
      </c>
      <c r="G31" s="412">
        <f>IF('PROPERTY DATA'!D$46="Y",+AL429,IF($A31&gt;('PROPERTY DATA'!$D$44+'PROPERTY DATA'!$D$43+'PROPERTY DATA'!$D$42+'PROPERTY DATA'!$D$41),+'PROPERTY DATA'!$D$40,IF($A31&gt;('PROPERTY DATA'!$D$43+'PROPERTY DATA'!$D$42+'PROPERTY DATA'!$D$41),+'PROPERTY DATA'!$D$39,IF($A31&gt;('PROPERTY DATA'!$D$42+'PROPERTY DATA'!$D$41),+'PROPERTY DATA'!$D$38,IF($A31&gt;'PROPERTY DATA'!$D$41,+'PROPERTY DATA'!$D$37,+G30)))))</f>
        <v>0.15</v>
      </c>
      <c r="H31" s="270">
        <f>IF('PROPERTY DATA'!D$46="Y",+AK429,IF(A31&gt;$A$42,0,IF(SUM(H$13:H30)&gt;$H$42,0,+H30*((1-G30)^0.5)*((1-G31)^0.5))))</f>
        <v>4648.0046732040755</v>
      </c>
      <c r="I31" s="271">
        <f>+I30*(1+'LTC RULES'!D$15)</f>
        <v>4.3935379461457487</v>
      </c>
      <c r="J31" s="272">
        <f>+I31*H31*(1-('PROPERTY DATA'!$D$55+'PROPERTY DATA'!$D$56))*('PROPERTY DATA'!$D$15)</f>
        <v>13784.29981126979</v>
      </c>
      <c r="K31" s="273">
        <f t="shared" si="0"/>
        <v>94996.618780584395</v>
      </c>
      <c r="L31" s="274">
        <f t="shared" si="5"/>
        <v>189213.1972702546</v>
      </c>
      <c r="M31" s="275">
        <f>IF(A31='PROPERTY DATA'!D$68,+'PROPERTY DATA'!D$58,IF(A31='PROPERTY DATA'!D$69,+'PROPERTY DATA'!D$59,IF(A31='PROPERTY DATA'!D$70,'PROPERTY DATA'!D$60,IF(A31='PROPERTY DATA'!D$71,+'PROPERTY DATA'!D$61,IF(A31='PROPERTY DATA'!D$72,+'PROPERTY DATA'!D$62,IF(A31='PROPERTY DATA'!D$73,+'PROPERTY DATA'!D$63,IF(A31='PROPERTY DATA'!D$74,+'PROPERTY DATA'!D$64,IF(A31='PROPERTY DATA'!D$75,+'PROPERTY DATA'!D$65,IF(A31='PROPERTY DATA'!D$76,+'PROPERTY DATA'!D$66,IF(A31='PROPERTY DATA'!D$77,'PROPERTY DATA'!D$67,0))))))))))</f>
        <v>0</v>
      </c>
      <c r="N31" s="272">
        <f t="shared" si="1"/>
        <v>189213.1972702546</v>
      </c>
      <c r="O31" s="273">
        <f t="shared" si="2"/>
        <v>-94216.57848967021</v>
      </c>
      <c r="P31" s="276">
        <f>1/((1+'LTC RULES'!$D$16)^(A31-0.5))</f>
        <v>7.5351161903637318E-2</v>
      </c>
      <c r="Q31" s="273">
        <f t="shared" si="3"/>
        <v>-7099.3286597818933</v>
      </c>
      <c r="S31" s="321"/>
    </row>
    <row r="32" spans="1:19" ht="15.05" customHeight="1">
      <c r="A32" s="257">
        <v>20</v>
      </c>
      <c r="B32" s="268">
        <f t="shared" si="4"/>
        <v>2043</v>
      </c>
      <c r="C32" s="269">
        <f>IF('PROPERTY DATA'!D$29="Y",+W430,IF($A32&gt;('PROPERTY DATA'!$D$27+'PROPERTY DATA'!$D$26+'PROPERTY DATA'!$D$25+'PROPERTY DATA'!$D$24),+'PROPERTY DATA'!$D$23,IF($A32&gt;('PROPERTY DATA'!$D$26+'PROPERTY DATA'!$D$25+'PROPERTY DATA'!$D$24),+'PROPERTY DATA'!$D$22,IF($A32&gt;('PROPERTY DATA'!$D$25+'PROPERTY DATA'!$D$24),+'PROPERTY DATA'!$D$21,IF($A32&gt;'PROPERTY DATA'!$D$24,+'PROPERTY DATA'!$D$20,+C31)))))</f>
        <v>0.1</v>
      </c>
      <c r="D32" s="270">
        <f>IF('PROPERTY DATA'!D$29="Y",+V430,IF(A32&gt;$A$42,0,IF(SUM(D$13:D31)&gt;$D$42,0,+D31*((1-C31)^0.5)*((1-C32)^0.5))))</f>
        <v>1696.7924294266236</v>
      </c>
      <c r="E32" s="271">
        <f>+E31*(1+'LTC RULES'!D$9)</f>
        <v>67.570248202062899</v>
      </c>
      <c r="F32" s="272">
        <f>+E32*D32*(1-('PROPERTY DATA'!$D$54+'PROPERTY DATA'!$D$56))*('PROPERTY DATA'!$D$15)</f>
        <v>73091.087072383132</v>
      </c>
      <c r="G32" s="412">
        <f>IF('PROPERTY DATA'!D$46="Y",+AL430,IF($A32&gt;('PROPERTY DATA'!$D$44+'PROPERTY DATA'!$D$43+'PROPERTY DATA'!$D$42+'PROPERTY DATA'!$D$41),+'PROPERTY DATA'!$D$40,IF($A32&gt;('PROPERTY DATA'!$D$43+'PROPERTY DATA'!$D$42+'PROPERTY DATA'!$D$41),+'PROPERTY DATA'!$D$39,IF($A32&gt;('PROPERTY DATA'!$D$42+'PROPERTY DATA'!$D$41),+'PROPERTY DATA'!$D$38,IF($A32&gt;'PROPERTY DATA'!$D$41,+'PROPERTY DATA'!$D$37,+G31)))))</f>
        <v>0.15</v>
      </c>
      <c r="H32" s="270">
        <f>IF('PROPERTY DATA'!D$46="Y",+AK430,IF(A32&gt;$A$42,0,IF(SUM(H$13:H31)&gt;$H$42,0,+H31*((1-G31)^0.5)*((1-G32)^0.5))))</f>
        <v>3950.8039722234644</v>
      </c>
      <c r="I32" s="271">
        <f>+I31*(1+'LTC RULES'!D$15)</f>
        <v>4.3935379461457487</v>
      </c>
      <c r="J32" s="272">
        <f>+I32*H32*(1-('PROPERTY DATA'!$D$55+'PROPERTY DATA'!$D$56))*('PROPERTY DATA'!$D$15)</f>
        <v>11716.654839579325</v>
      </c>
      <c r="K32" s="273">
        <f t="shared" si="0"/>
        <v>84807.741911962454</v>
      </c>
      <c r="L32" s="274">
        <f t="shared" si="5"/>
        <v>189213.1972702546</v>
      </c>
      <c r="M32" s="275">
        <f>IF(A32='PROPERTY DATA'!D$68,+'PROPERTY DATA'!D$58,IF(A32='PROPERTY DATA'!D$69,+'PROPERTY DATA'!D$59,IF(A32='PROPERTY DATA'!D$70,'PROPERTY DATA'!D$60,IF(A32='PROPERTY DATA'!D$71,+'PROPERTY DATA'!D$61,IF(A32='PROPERTY DATA'!D$72,+'PROPERTY DATA'!D$62,IF(A32='PROPERTY DATA'!D$73,+'PROPERTY DATA'!D$63,IF(A32='PROPERTY DATA'!D$74,+'PROPERTY DATA'!D$64,IF(A32='PROPERTY DATA'!D$75,+'PROPERTY DATA'!D$65,IF(A32='PROPERTY DATA'!D$76,+'PROPERTY DATA'!D$66,IF(A32='PROPERTY DATA'!D$77,'PROPERTY DATA'!D$67,0))))))))))</f>
        <v>0</v>
      </c>
      <c r="N32" s="272">
        <f t="shared" si="1"/>
        <v>189213.1972702546</v>
      </c>
      <c r="O32" s="273">
        <f t="shared" si="2"/>
        <v>-104405.45535829215</v>
      </c>
      <c r="P32" s="276">
        <f>1/((1+'LTC RULES'!$D$16)^(A32-0.5))</f>
        <v>6.5522749481423753E-2</v>
      </c>
      <c r="Q32" s="273">
        <f t="shared" si="3"/>
        <v>-6840.932495935348</v>
      </c>
      <c r="S32" s="321"/>
    </row>
    <row r="33" spans="1:19" ht="21.95" customHeight="1">
      <c r="A33" s="257">
        <v>21</v>
      </c>
      <c r="B33" s="268">
        <f t="shared" si="4"/>
        <v>2044</v>
      </c>
      <c r="C33" s="269">
        <f>IF('PROPERTY DATA'!D$29="Y",+W431,IF($A33&gt;('PROPERTY DATA'!$D$27+'PROPERTY DATA'!$D$26+'PROPERTY DATA'!$D$25+'PROPERTY DATA'!$D$24),+'PROPERTY DATA'!$D$23,IF($A33&gt;('PROPERTY DATA'!$D$26+'PROPERTY DATA'!$D$25+'PROPERTY DATA'!$D$24),+'PROPERTY DATA'!$D$22,IF($A33&gt;('PROPERTY DATA'!$D$25+'PROPERTY DATA'!$D$24),+'PROPERTY DATA'!$D$21,IF($A33&gt;'PROPERTY DATA'!$D$24,+'PROPERTY DATA'!$D$20,+C32)))))</f>
        <v>0.1</v>
      </c>
      <c r="D33" s="270">
        <f>IF('PROPERTY DATA'!D$29="Y",+V431,IF(A33&gt;$A$42,0,IF(SUM(D$13:D32)&gt;$D$42,0,+D32*((1-C32)^0.5)*((1-C33)^0.5))))</f>
        <v>1527.113186483961</v>
      </c>
      <c r="E33" s="271">
        <f>+E32*(1+'LTC RULES'!D$9)</f>
        <v>67.570248202062899</v>
      </c>
      <c r="F33" s="272">
        <f>+E33*D33*(1-('PROPERTY DATA'!$D$54+'PROPERTY DATA'!$D$56))*('PROPERTY DATA'!$D$15)</f>
        <v>65781.978365144809</v>
      </c>
      <c r="G33" s="412">
        <f>IF('PROPERTY DATA'!D$46="Y",+AL431,IF($A33&gt;('PROPERTY DATA'!$D$44+'PROPERTY DATA'!$D$43+'PROPERTY DATA'!$D$42+'PROPERTY DATA'!$D$41),+'PROPERTY DATA'!$D$40,IF($A33&gt;('PROPERTY DATA'!$D$43+'PROPERTY DATA'!$D$42+'PROPERTY DATA'!$D$41),+'PROPERTY DATA'!$D$39,IF($A33&gt;('PROPERTY DATA'!$D$42+'PROPERTY DATA'!$D$41),+'PROPERTY DATA'!$D$38,IF($A33&gt;'PROPERTY DATA'!$D$41,+'PROPERTY DATA'!$D$37,+G32)))))</f>
        <v>0.15</v>
      </c>
      <c r="H33" s="270">
        <f>IF('PROPERTY DATA'!D$46="Y",+AK431,IF(A33&gt;$A$42,0,IF(SUM(H$13:H32)&gt;$H$42,0,+H32*((1-G32)^0.5)*((1-G33)^0.5))))</f>
        <v>3358.1833763899449</v>
      </c>
      <c r="I33" s="271">
        <f>+I32*(1+'LTC RULES'!D$15)</f>
        <v>4.3935379461457487</v>
      </c>
      <c r="J33" s="272">
        <f>+I33*H33*(1-('PROPERTY DATA'!$D$55+'PROPERTY DATA'!$D$56))*('PROPERTY DATA'!$D$15)</f>
        <v>9959.1566136424244</v>
      </c>
      <c r="K33" s="273">
        <f t="shared" si="0"/>
        <v>75741.134978787231</v>
      </c>
      <c r="L33" s="274">
        <f t="shared" si="5"/>
        <v>189213.1972702546</v>
      </c>
      <c r="M33" s="275">
        <f>IF(A33='PROPERTY DATA'!D$68,+'PROPERTY DATA'!D$58,IF(A33='PROPERTY DATA'!D$69,+'PROPERTY DATA'!D$59,IF(A33='PROPERTY DATA'!D$70,'PROPERTY DATA'!D$60,IF(A33='PROPERTY DATA'!D$71,+'PROPERTY DATA'!D$61,IF(A33='PROPERTY DATA'!D$72,+'PROPERTY DATA'!D$62,IF(A33='PROPERTY DATA'!D$73,+'PROPERTY DATA'!D$63,IF(A33='PROPERTY DATA'!D$74,+'PROPERTY DATA'!D$64,IF(A33='PROPERTY DATA'!D$75,+'PROPERTY DATA'!D$65,IF(A33='PROPERTY DATA'!D$76,+'PROPERTY DATA'!D$66,IF(A33='PROPERTY DATA'!D$77,'PROPERTY DATA'!D$67,0))))))))))</f>
        <v>0</v>
      </c>
      <c r="N33" s="272">
        <f t="shared" si="1"/>
        <v>189213.1972702546</v>
      </c>
      <c r="O33" s="273">
        <f t="shared" si="2"/>
        <v>-113472.06229146737</v>
      </c>
      <c r="P33" s="276">
        <f>1/((1+'LTC RULES'!$D$16)^(A33-0.5))</f>
        <v>5.6976303896890207E-2</v>
      </c>
      <c r="Q33" s="273">
        <f t="shared" si="3"/>
        <v>-6465.2187049255008</v>
      </c>
      <c r="S33" s="321"/>
    </row>
    <row r="34" spans="1:19" ht="15.05" customHeight="1">
      <c r="A34" s="257">
        <v>22</v>
      </c>
      <c r="B34" s="268">
        <f t="shared" si="4"/>
        <v>2045</v>
      </c>
      <c r="C34" s="269">
        <f>IF('PROPERTY DATA'!D$29="Y",+W432,IF($A34&gt;('PROPERTY DATA'!$D$27+'PROPERTY DATA'!$D$26+'PROPERTY DATA'!$D$25+'PROPERTY DATA'!$D$24),+'PROPERTY DATA'!$D$23,IF($A34&gt;('PROPERTY DATA'!$D$26+'PROPERTY DATA'!$D$25+'PROPERTY DATA'!$D$24),+'PROPERTY DATA'!$D$22,IF($A34&gt;('PROPERTY DATA'!$D$25+'PROPERTY DATA'!$D$24),+'PROPERTY DATA'!$D$21,IF($A34&gt;'PROPERTY DATA'!$D$24,+'PROPERTY DATA'!$D$20,+C33)))))</f>
        <v>0.1</v>
      </c>
      <c r="D34" s="270">
        <f>IF('PROPERTY DATA'!D$29="Y",+V432,IF(A34&gt;$A$42,0,IF(SUM(D$13:D33)&gt;$D$42,0,+D33*((1-C33)^0.5)*((1-C34)^0.5))))</f>
        <v>1374.4018678355649</v>
      </c>
      <c r="E34" s="271">
        <f>+E33*(1+'LTC RULES'!D$9)</f>
        <v>67.570248202062899</v>
      </c>
      <c r="F34" s="272">
        <f>+E34*D34*(1-('PROPERTY DATA'!$D$54+'PROPERTY DATA'!$D$56))*('PROPERTY DATA'!$D$15)</f>
        <v>59203.780528630334</v>
      </c>
      <c r="G34" s="412">
        <f>IF('PROPERTY DATA'!D$46="Y",+AL432,IF($A34&gt;('PROPERTY DATA'!$D$44+'PROPERTY DATA'!$D$43+'PROPERTY DATA'!$D$42+'PROPERTY DATA'!$D$41),+'PROPERTY DATA'!$D$40,IF($A34&gt;('PROPERTY DATA'!$D$43+'PROPERTY DATA'!$D$42+'PROPERTY DATA'!$D$41),+'PROPERTY DATA'!$D$39,IF($A34&gt;('PROPERTY DATA'!$D$42+'PROPERTY DATA'!$D$41),+'PROPERTY DATA'!$D$38,IF($A34&gt;'PROPERTY DATA'!$D$41,+'PROPERTY DATA'!$D$37,+G33)))))</f>
        <v>0.15</v>
      </c>
      <c r="H34" s="270">
        <f>IF('PROPERTY DATA'!D$46="Y",+AK432,IF(A34&gt;$A$42,0,IF(SUM(H$13:H33)&gt;$H$42,0,+H33*((1-G33)^0.5)*((1-G34)^0.5))))</f>
        <v>2854.4558699314534</v>
      </c>
      <c r="I34" s="271">
        <f>+I33*(1+'LTC RULES'!D$15)</f>
        <v>4.3935379461457487</v>
      </c>
      <c r="J34" s="272">
        <f>+I34*H34*(1-('PROPERTY DATA'!$D$55+'PROPERTY DATA'!$D$56))*('PROPERTY DATA'!$D$15)</f>
        <v>8465.2831215960632</v>
      </c>
      <c r="K34" s="273">
        <f t="shared" si="0"/>
        <v>67669.063650226395</v>
      </c>
      <c r="L34" s="274">
        <f t="shared" si="5"/>
        <v>189213.1972702546</v>
      </c>
      <c r="M34" s="275">
        <f>IF(A34='PROPERTY DATA'!D$68,+'PROPERTY DATA'!D$58,IF(A34='PROPERTY DATA'!D$69,+'PROPERTY DATA'!D$59,IF(A34='PROPERTY DATA'!D$70,'PROPERTY DATA'!D$60,IF(A34='PROPERTY DATA'!D$71,+'PROPERTY DATA'!D$61,IF(A34='PROPERTY DATA'!D$72,+'PROPERTY DATA'!D$62,IF(A34='PROPERTY DATA'!D$73,+'PROPERTY DATA'!D$63,IF(A34='PROPERTY DATA'!D$74,+'PROPERTY DATA'!D$64,IF(A34='PROPERTY DATA'!D$75,+'PROPERTY DATA'!D$65,IF(A34='PROPERTY DATA'!D$76,+'PROPERTY DATA'!D$66,IF(A34='PROPERTY DATA'!D$77,'PROPERTY DATA'!D$67,0))))))))))</f>
        <v>0</v>
      </c>
      <c r="N34" s="272">
        <f t="shared" si="1"/>
        <v>189213.1972702546</v>
      </c>
      <c r="O34" s="273">
        <f t="shared" si="2"/>
        <v>-121544.13362002821</v>
      </c>
      <c r="P34" s="276">
        <f>1/((1+'LTC RULES'!$D$16)^(A34-0.5))</f>
        <v>4.9544612084252371E-2</v>
      </c>
      <c r="Q34" s="273">
        <f t="shared" si="3"/>
        <v>-6021.8569513208349</v>
      </c>
      <c r="S34" s="321"/>
    </row>
    <row r="35" spans="1:19" ht="15.05" customHeight="1">
      <c r="A35" s="257">
        <v>23</v>
      </c>
      <c r="B35" s="268">
        <f t="shared" si="4"/>
        <v>2046</v>
      </c>
      <c r="C35" s="269">
        <f>IF('PROPERTY DATA'!D$29="Y",+W433,IF($A35&gt;('PROPERTY DATA'!$D$27+'PROPERTY DATA'!$D$26+'PROPERTY DATA'!$D$25+'PROPERTY DATA'!$D$24),+'PROPERTY DATA'!$D$23,IF($A35&gt;('PROPERTY DATA'!$D$26+'PROPERTY DATA'!$D$25+'PROPERTY DATA'!$D$24),+'PROPERTY DATA'!$D$22,IF($A35&gt;('PROPERTY DATA'!$D$25+'PROPERTY DATA'!$D$24),+'PROPERTY DATA'!$D$21,IF($A35&gt;'PROPERTY DATA'!$D$24,+'PROPERTY DATA'!$D$20,+C34)))))</f>
        <v>0.1</v>
      </c>
      <c r="D35" s="270">
        <f>IF('PROPERTY DATA'!D$29="Y",+V433,IF(A35&gt;$A$42,0,IF(SUM(D$13:D34)&gt;$D$42,0,+D34*((1-C34)^0.5)*((1-C35)^0.5))))</f>
        <v>1236.9616810520083</v>
      </c>
      <c r="E35" s="271">
        <f>+E34*(1+'LTC RULES'!D$9)</f>
        <v>67.570248202062899</v>
      </c>
      <c r="F35" s="272">
        <f>+E35*D35*(1-('PROPERTY DATA'!$D$54+'PROPERTY DATA'!$D$56))*('PROPERTY DATA'!$D$15)</f>
        <v>53283.402475767296</v>
      </c>
      <c r="G35" s="412">
        <f>IF('PROPERTY DATA'!D$46="Y",+AL433,IF($A35&gt;('PROPERTY DATA'!$D$44+'PROPERTY DATA'!$D$43+'PROPERTY DATA'!$D$42+'PROPERTY DATA'!$D$41),+'PROPERTY DATA'!$D$40,IF($A35&gt;('PROPERTY DATA'!$D$43+'PROPERTY DATA'!$D$42+'PROPERTY DATA'!$D$41),+'PROPERTY DATA'!$D$39,IF($A35&gt;('PROPERTY DATA'!$D$42+'PROPERTY DATA'!$D$41),+'PROPERTY DATA'!$D$38,IF($A35&gt;'PROPERTY DATA'!$D$41,+'PROPERTY DATA'!$D$37,+G34)))))</f>
        <v>0.15</v>
      </c>
      <c r="H35" s="270">
        <f>IF('PROPERTY DATA'!D$46="Y",+AK433,IF(A35&gt;$A$42,0,IF(SUM(H$13:H34)&gt;$H$42,0,+H34*((1-G34)^0.5)*((1-G35)^0.5))))</f>
        <v>2426.2874894417355</v>
      </c>
      <c r="I35" s="271">
        <f>+I34*(1+'LTC RULES'!D$15)</f>
        <v>4.3935379461457487</v>
      </c>
      <c r="J35" s="272">
        <f>+I35*H35*(1-('PROPERTY DATA'!$D$55+'PROPERTY DATA'!$D$56))*('PROPERTY DATA'!$D$15)</f>
        <v>7195.4906533566536</v>
      </c>
      <c r="K35" s="273">
        <f t="shared" si="0"/>
        <v>60478.89312912395</v>
      </c>
      <c r="L35" s="274">
        <f t="shared" si="5"/>
        <v>189213.1972702546</v>
      </c>
      <c r="M35" s="275">
        <f>IF(A35='PROPERTY DATA'!D$68,+'PROPERTY DATA'!D$58,IF(A35='PROPERTY DATA'!D$69,+'PROPERTY DATA'!D$59,IF(A35='PROPERTY DATA'!D$70,'PROPERTY DATA'!D$60,IF(A35='PROPERTY DATA'!D$71,+'PROPERTY DATA'!D$61,IF(A35='PROPERTY DATA'!D$72,+'PROPERTY DATA'!D$62,IF(A35='PROPERTY DATA'!D$73,+'PROPERTY DATA'!D$63,IF(A35='PROPERTY DATA'!D$74,+'PROPERTY DATA'!D$64,IF(A35='PROPERTY DATA'!D$75,+'PROPERTY DATA'!D$65,IF(A35='PROPERTY DATA'!D$76,+'PROPERTY DATA'!D$66,IF(A35='PROPERTY DATA'!D$77,'PROPERTY DATA'!D$67,0))))))))))</f>
        <v>0</v>
      </c>
      <c r="N35" s="272">
        <f t="shared" si="1"/>
        <v>189213.1972702546</v>
      </c>
      <c r="O35" s="273">
        <f t="shared" si="2"/>
        <v>-128734.30414113065</v>
      </c>
      <c r="P35" s="276">
        <f>1/((1+'LTC RULES'!$D$16)^(A35-0.5))</f>
        <v>4.3082271377610747E-2</v>
      </c>
      <c r="Q35" s="273">
        <f t="shared" si="3"/>
        <v>-5546.1662266160693</v>
      </c>
      <c r="S35" s="321"/>
    </row>
    <row r="36" spans="1:19" ht="15.05" customHeight="1">
      <c r="A36" s="257">
        <v>24</v>
      </c>
      <c r="B36" s="268">
        <f t="shared" si="4"/>
        <v>2047</v>
      </c>
      <c r="C36" s="269">
        <f>IF('PROPERTY DATA'!D$29="Y",+W434,IF($A36&gt;('PROPERTY DATA'!$D$27+'PROPERTY DATA'!$D$26+'PROPERTY DATA'!$D$25+'PROPERTY DATA'!$D$24),+'PROPERTY DATA'!$D$23,IF($A36&gt;('PROPERTY DATA'!$D$26+'PROPERTY DATA'!$D$25+'PROPERTY DATA'!$D$24),+'PROPERTY DATA'!$D$22,IF($A36&gt;('PROPERTY DATA'!$D$25+'PROPERTY DATA'!$D$24),+'PROPERTY DATA'!$D$21,IF($A36&gt;'PROPERTY DATA'!$D$24,+'PROPERTY DATA'!$D$20,+C35)))))</f>
        <v>0.1</v>
      </c>
      <c r="D36" s="270">
        <f>IF('PROPERTY DATA'!D$29="Y",+V434,IF(A36&gt;$A$42,0,IF(SUM(D$13:D35)&gt;$D$42,0,+D35*((1-C35)^0.5)*((1-C36)^0.5))))</f>
        <v>1113.2655129468073</v>
      </c>
      <c r="E36" s="271">
        <f>+E35*(1+'LTC RULES'!D$9)</f>
        <v>67.570248202062899</v>
      </c>
      <c r="F36" s="272">
        <f>+E36*D36*(1-('PROPERTY DATA'!$D$54+'PROPERTY DATA'!$D$56))*('PROPERTY DATA'!$D$15)</f>
        <v>47955.062228190553</v>
      </c>
      <c r="G36" s="412">
        <f>IF('PROPERTY DATA'!D$46="Y",+AL434,IF($A36&gt;('PROPERTY DATA'!$D$44+'PROPERTY DATA'!$D$43+'PROPERTY DATA'!$D$42+'PROPERTY DATA'!$D$41),+'PROPERTY DATA'!$D$40,IF($A36&gt;('PROPERTY DATA'!$D$43+'PROPERTY DATA'!$D$42+'PROPERTY DATA'!$D$41),+'PROPERTY DATA'!$D$39,IF($A36&gt;('PROPERTY DATA'!$D$42+'PROPERTY DATA'!$D$41),+'PROPERTY DATA'!$D$38,IF($A36&gt;'PROPERTY DATA'!$D$41,+'PROPERTY DATA'!$D$37,+G35)))))</f>
        <v>0.15</v>
      </c>
      <c r="H36" s="270">
        <f>IF('PROPERTY DATA'!D$46="Y",+AK434,IF(A36&gt;$A$42,0,IF(SUM(H$13:H35)&gt;$H$42,0,+H35*((1-G35)^0.5)*((1-G36)^0.5))))</f>
        <v>2062.3443660254752</v>
      </c>
      <c r="I36" s="271">
        <f>+I35*(1+'LTC RULES'!D$15)</f>
        <v>4.3935379461457487</v>
      </c>
      <c r="J36" s="272">
        <f>+I36*H36*(1-('PROPERTY DATA'!$D$55+'PROPERTY DATA'!$D$56))*('PROPERTY DATA'!$D$15)</f>
        <v>6116.1670553531558</v>
      </c>
      <c r="K36" s="273">
        <f t="shared" si="0"/>
        <v>54071.229283543711</v>
      </c>
      <c r="L36" s="274">
        <f t="shared" si="5"/>
        <v>189213.1972702546</v>
      </c>
      <c r="M36" s="275">
        <f>IF(A36='PROPERTY DATA'!D$68,+'PROPERTY DATA'!D$58,IF(A36='PROPERTY DATA'!D$69,+'PROPERTY DATA'!D$59,IF(A36='PROPERTY DATA'!D$70,'PROPERTY DATA'!D$60,IF(A36='PROPERTY DATA'!D$71,+'PROPERTY DATA'!D$61,IF(A36='PROPERTY DATA'!D$72,+'PROPERTY DATA'!D$62,IF(A36='PROPERTY DATA'!D$73,+'PROPERTY DATA'!D$63,IF(A36='PROPERTY DATA'!D$74,+'PROPERTY DATA'!D$64,IF(A36='PROPERTY DATA'!D$75,+'PROPERTY DATA'!D$65,IF(A36='PROPERTY DATA'!D$76,+'PROPERTY DATA'!D$66,IF(A36='PROPERTY DATA'!D$77,'PROPERTY DATA'!D$67,0))))))))))</f>
        <v>0</v>
      </c>
      <c r="N36" s="272">
        <f t="shared" si="1"/>
        <v>189213.1972702546</v>
      </c>
      <c r="O36" s="273">
        <f t="shared" si="2"/>
        <v>-135141.96798671089</v>
      </c>
      <c r="P36" s="276">
        <f>1/((1+'LTC RULES'!$D$16)^(A36-0.5))</f>
        <v>3.7462844676183271E-2</v>
      </c>
      <c r="Q36" s="273">
        <f t="shared" si="3"/>
        <v>-5062.8025559198823</v>
      </c>
      <c r="S36" s="321"/>
    </row>
    <row r="37" spans="1:19" ht="15.05" customHeight="1" thickBot="1">
      <c r="A37" s="257">
        <v>25</v>
      </c>
      <c r="B37" s="277">
        <f>+B36+1</f>
        <v>2048</v>
      </c>
      <c r="C37" s="278">
        <f>IF('PROPERTY DATA'!D$29="Y",+W435,IF($A37&gt;('PROPERTY DATA'!$D$27+'PROPERTY DATA'!$D$26+'PROPERTY DATA'!$D$25+'PROPERTY DATA'!$D$24),+'PROPERTY DATA'!$D$23,IF($A37&gt;('PROPERTY DATA'!$D$26+'PROPERTY DATA'!$D$25+'PROPERTY DATA'!$D$24),+'PROPERTY DATA'!$D$22,IF($A37&gt;('PROPERTY DATA'!$D$25+'PROPERTY DATA'!$D$24),+'PROPERTY DATA'!$D$21,IF($A37&gt;'PROPERTY DATA'!$D$24,+'PROPERTY DATA'!$D$20,+C36)))))</f>
        <v>0.1</v>
      </c>
      <c r="D37" s="279">
        <f>IF('PROPERTY DATA'!D$29="Y",+V435,IF(A37&gt;$A$42,0,IF(SUM(D$13:D36)&gt;$D$42,0,+D36*((1-C36)^0.5)*((1-C37)^0.5))))</f>
        <v>1001.9389616521265</v>
      </c>
      <c r="E37" s="280">
        <f>+E36*(1+'LTC RULES'!D$9)</f>
        <v>67.570248202062899</v>
      </c>
      <c r="F37" s="281">
        <f>+E37*D37*(1-('PROPERTY DATA'!$D$54+'PROPERTY DATA'!$D$56))*('PROPERTY DATA'!$D$15)</f>
        <v>43159.556005371494</v>
      </c>
      <c r="G37" s="278">
        <f>IF('PROPERTY DATA'!D$46="Y",+AL435,IF($A37&gt;('PROPERTY DATA'!$D$44+'PROPERTY DATA'!$D$43+'PROPERTY DATA'!$D$42+'PROPERTY DATA'!$D$41),+'PROPERTY DATA'!$D$40,IF($A37&gt;('PROPERTY DATA'!$D$43+'PROPERTY DATA'!$D$42+'PROPERTY DATA'!$D$41),+'PROPERTY DATA'!$D$39,IF($A37&gt;('PROPERTY DATA'!$D$42+'PROPERTY DATA'!$D$41),+'PROPERTY DATA'!$D$38,IF($A37&gt;'PROPERTY DATA'!$D$41,+'PROPERTY DATA'!$D$37,+G36)))))</f>
        <v>0.15</v>
      </c>
      <c r="H37" s="279">
        <f>IF('PROPERTY DATA'!D$46="Y",+AK435,IF(A37&gt;$A$42,0,IF(SUM(H$13:H36)&gt;$H$42,0,+H36*((1-G36)^0.5)*((1-G37)^0.5))))</f>
        <v>1752.9927111216541</v>
      </c>
      <c r="I37" s="280">
        <f>+I36*(1+'LTC RULES'!D$15)</f>
        <v>4.3935379461457487</v>
      </c>
      <c r="J37" s="281">
        <f>+I37*H37*(1-('PROPERTY DATA'!$D$55+'PROPERTY DATA'!$D$56))*('PROPERTY DATA'!$D$15)</f>
        <v>5198.7419970501824</v>
      </c>
      <c r="K37" s="282">
        <f t="shared" si="0"/>
        <v>48358.298002421674</v>
      </c>
      <c r="L37" s="283">
        <f t="shared" si="5"/>
        <v>189213.1972702546</v>
      </c>
      <c r="M37" s="284">
        <f>IF(A37='PROPERTY DATA'!D$68,+'PROPERTY DATA'!D$58,IF(A37='PROPERTY DATA'!D$69,+'PROPERTY DATA'!D$59,IF(A37='PROPERTY DATA'!D$70,'PROPERTY DATA'!D$60,IF(A37='PROPERTY DATA'!D$71,+'PROPERTY DATA'!D$61,IF(A37='PROPERTY DATA'!D$72,+'PROPERTY DATA'!D$62,IF(A37='PROPERTY DATA'!D$73,+'PROPERTY DATA'!D$63,IF(A37='PROPERTY DATA'!D$74,+'PROPERTY DATA'!D$64,IF(A37='PROPERTY DATA'!D$75,+'PROPERTY DATA'!D$65,IF(A37='PROPERTY DATA'!D$76,+'PROPERTY DATA'!D$66,IF(A37='PROPERTY DATA'!D$77,'PROPERTY DATA'!D$67,0))))))))))</f>
        <v>0</v>
      </c>
      <c r="N37" s="281">
        <f t="shared" si="1"/>
        <v>189213.1972702546</v>
      </c>
      <c r="O37" s="282">
        <f t="shared" si="2"/>
        <v>-140854.89926783292</v>
      </c>
      <c r="P37" s="285">
        <f>1/((1+'LTC RULES'!$D$16)^(A37-0.5))</f>
        <v>3.2576386674941976E-2</v>
      </c>
      <c r="Q37" s="282">
        <f t="shared" si="3"/>
        <v>-4588.5436636089271</v>
      </c>
      <c r="S37" s="321"/>
    </row>
    <row r="38" spans="1:19" ht="18" hidden="1" customHeight="1" thickTop="1" thickBot="1">
      <c r="A38" s="240"/>
      <c r="B38" s="286" t="s">
        <v>12</v>
      </c>
      <c r="C38" s="287"/>
      <c r="D38" s="260">
        <f>IF('PROPERTY DATA'!D$29="Y",+CALCULATIONS!V436,IF(A38&gt;$A$42,0,IF(SUM(D$13:D37)&gt;$D$42,0,+D37*((1-C37)^0.5)*((1-C38)^0.5))))</f>
        <v>950.52275858544658</v>
      </c>
      <c r="E38" s="288"/>
      <c r="F38" s="289">
        <f>SUM(F13:F37)</f>
        <v>6200524.3376450017</v>
      </c>
      <c r="G38" s="413">
        <f>IF('PROPERTY DATA'!D$46="Y",+AL436,IF($A38&gt;('PROPERTY DATA'!$D$44+'PROPERTY DATA'!$D$43+'PROPERTY DATA'!$D$42+'PROPERTY DATA'!$D$41),+'PROPERTY DATA'!$D$40,IF($A38&gt;('PROPERTY DATA'!$D$43+'PROPERTY DATA'!$D$42+'PROPERTY DATA'!$D$41),+'PROPERTY DATA'!$D$39,IF($A38&gt;('PROPERTY DATA'!$D$42+'PROPERTY DATA'!$D$41),+'PROPERTY DATA'!$D$38,IF($A38&gt;'PROPERTY DATA'!$D$41,+'PROPERTY DATA'!$D$37,+G37)))))</f>
        <v>0.15</v>
      </c>
      <c r="H38" s="414">
        <f>IF('PROPERTY DATA'!D$46="Y",+AK436,IF(A38&gt;$A$42,0,IF(SUM(H$13:H37)&gt;$H$42,0,+H37*((1-G37)^0.5)*((1-G38)^0.5))))</f>
        <v>1490.043804453406</v>
      </c>
      <c r="I38" s="288"/>
      <c r="J38" s="289">
        <f t="shared" ref="J38:O38" si="6">SUM(J13:J37)</f>
        <v>1955411.5084340028</v>
      </c>
      <c r="K38" s="290">
        <f t="shared" si="6"/>
        <v>8155935.846079004</v>
      </c>
      <c r="L38" s="291">
        <f t="shared" si="6"/>
        <v>4758573.8200297728</v>
      </c>
      <c r="M38" s="292">
        <f t="shared" si="6"/>
        <v>50000</v>
      </c>
      <c r="N38" s="289">
        <f t="shared" si="6"/>
        <v>4808573.8200297737</v>
      </c>
      <c r="O38" s="290">
        <f t="shared" si="6"/>
        <v>3347362.0260492321</v>
      </c>
      <c r="P38" s="293"/>
      <c r="Q38" s="294">
        <f>SUM(Q13:Q37)</f>
        <v>3136361.3045376283</v>
      </c>
      <c r="S38" s="321"/>
    </row>
    <row r="39" spans="1:19" ht="16.2" customHeight="1" thickTop="1">
      <c r="A39" s="240"/>
      <c r="B39" s="240"/>
      <c r="C39" s="240"/>
      <c r="D39" s="240"/>
      <c r="E39" s="240"/>
      <c r="F39" s="240"/>
      <c r="G39" s="240"/>
      <c r="H39" s="240"/>
      <c r="I39" s="240"/>
      <c r="J39" s="240"/>
      <c r="K39" s="240"/>
      <c r="L39" s="240"/>
      <c r="M39" s="240"/>
      <c r="N39" s="240"/>
      <c r="O39" s="240"/>
      <c r="P39" s="295"/>
      <c r="Q39" s="240"/>
      <c r="S39" s="321"/>
    </row>
    <row r="40" spans="1:19" ht="16.2" customHeight="1" thickBot="1">
      <c r="A40" s="240"/>
      <c r="B40" s="240"/>
      <c r="C40" s="240"/>
      <c r="D40" s="240"/>
      <c r="E40" s="240"/>
      <c r="F40" s="240"/>
      <c r="G40" s="240"/>
      <c r="H40" s="240"/>
      <c r="I40" s="240"/>
      <c r="J40" s="240"/>
      <c r="K40" s="240"/>
      <c r="L40" s="240"/>
      <c r="M40" s="240"/>
      <c r="N40" s="240"/>
      <c r="O40" s="240"/>
      <c r="P40" s="296"/>
      <c r="Q40" s="296"/>
      <c r="S40" s="321"/>
    </row>
    <row r="41" spans="1:19" ht="16.2" customHeight="1" thickBot="1">
      <c r="A41" s="297" t="s">
        <v>14</v>
      </c>
      <c r="B41" s="240"/>
      <c r="C41" s="240"/>
      <c r="D41" s="297" t="s">
        <v>14</v>
      </c>
      <c r="E41" s="240"/>
      <c r="F41" s="240"/>
      <c r="G41" s="240"/>
      <c r="H41" s="297" t="s">
        <v>14</v>
      </c>
      <c r="I41" s="240"/>
      <c r="J41" s="240"/>
      <c r="K41" s="240"/>
      <c r="L41" s="240"/>
      <c r="M41" s="240"/>
      <c r="N41" s="240"/>
      <c r="O41" s="240"/>
      <c r="P41" s="240"/>
      <c r="Q41" s="240"/>
      <c r="S41" s="321"/>
    </row>
    <row r="42" spans="1:19" ht="16.2" customHeight="1" thickBot="1">
      <c r="A42" s="298">
        <f>IF('PROPERTY DATA'!D80=0,99,+'PROPERTY DATA'!D80)</f>
        <v>99</v>
      </c>
      <c r="B42" s="240"/>
      <c r="C42" s="240"/>
      <c r="D42" s="298">
        <f>IF('PROPERTY DATA'!D78=0,999999999,+'PROPERTY DATA'!D78)</f>
        <v>999999999</v>
      </c>
      <c r="E42" s="240"/>
      <c r="F42" s="240"/>
      <c r="G42" s="240"/>
      <c r="H42" s="298">
        <f>IF('PROPERTY DATA'!D79=0,999999999,+'PROPERTY DATA'!D79)</f>
        <v>999999999</v>
      </c>
      <c r="I42" s="240"/>
      <c r="J42" s="240"/>
      <c r="K42" s="240"/>
      <c r="L42" s="240"/>
      <c r="M42" s="560" t="s">
        <v>70</v>
      </c>
      <c r="N42" s="561"/>
      <c r="O42" s="562"/>
      <c r="P42" s="240"/>
      <c r="Q42" s="240"/>
      <c r="S42" s="321"/>
    </row>
    <row r="43" spans="1:19" ht="16.2" customHeight="1">
      <c r="A43" s="240"/>
      <c r="B43" s="240"/>
      <c r="C43" s="240"/>
      <c r="D43" s="240"/>
      <c r="E43" s="240"/>
      <c r="F43" s="240"/>
      <c r="G43" s="240"/>
      <c r="H43" s="240"/>
      <c r="I43" s="240"/>
      <c r="J43" s="240"/>
      <c r="K43" s="240"/>
      <c r="L43" s="240"/>
      <c r="M43" s="299"/>
      <c r="N43" s="300" t="s">
        <v>45</v>
      </c>
      <c r="O43" s="301" t="str">
        <f>+'PROPERTY DATA'!D14</f>
        <v>ONSHORE</v>
      </c>
      <c r="P43" s="240"/>
      <c r="Q43" s="240"/>
      <c r="S43" s="321"/>
    </row>
    <row r="44" spans="1:19" ht="16.2" customHeight="1">
      <c r="A44" s="240"/>
      <c r="B44" s="240"/>
      <c r="C44" s="240"/>
      <c r="D44" s="240"/>
      <c r="E44" s="240"/>
      <c r="F44" s="240"/>
      <c r="G44" s="240"/>
      <c r="H44" s="240"/>
      <c r="I44" s="240"/>
      <c r="J44" s="240"/>
      <c r="K44" s="240"/>
      <c r="L44" s="240"/>
      <c r="M44" s="299"/>
      <c r="N44" s="300" t="s">
        <v>44</v>
      </c>
      <c r="O44" s="302">
        <f>+'PROPERTY DATA'!D17</f>
        <v>15854</v>
      </c>
      <c r="P44" s="240"/>
      <c r="Q44" s="240"/>
      <c r="S44" s="321"/>
    </row>
    <row r="45" spans="1:19" ht="16.2" customHeight="1" thickBot="1">
      <c r="A45" s="240"/>
      <c r="B45" s="240"/>
      <c r="C45" s="240"/>
      <c r="D45" s="240"/>
      <c r="E45" s="240"/>
      <c r="F45" s="240"/>
      <c r="G45" s="240"/>
      <c r="H45" s="240"/>
      <c r="I45" s="240"/>
      <c r="J45" s="240"/>
      <c r="K45" s="240"/>
      <c r="L45" s="240"/>
      <c r="M45" s="303"/>
      <c r="N45" s="304" t="s">
        <v>52</v>
      </c>
      <c r="O45" s="305">
        <f>+'PROPERTY DATA'!D16</f>
        <v>1</v>
      </c>
      <c r="P45" s="240"/>
      <c r="Q45" s="240"/>
      <c r="S45" s="321"/>
    </row>
    <row r="46" spans="1:19" ht="16.2" customHeight="1" thickBot="1">
      <c r="A46" s="240"/>
      <c r="B46" s="240"/>
      <c r="C46" s="240"/>
      <c r="D46" s="240"/>
      <c r="E46" s="240"/>
      <c r="F46" s="240"/>
      <c r="G46" s="240"/>
      <c r="H46" s="240"/>
      <c r="I46" s="240"/>
      <c r="J46" s="240"/>
      <c r="K46" s="240"/>
      <c r="L46" s="240"/>
      <c r="M46" s="240"/>
      <c r="N46" s="240"/>
      <c r="O46" s="240"/>
      <c r="P46" s="240"/>
      <c r="Q46" s="240"/>
      <c r="S46" s="321"/>
    </row>
    <row r="47" spans="1:19" ht="16.2" customHeight="1">
      <c r="A47" s="240"/>
      <c r="B47" s="240"/>
      <c r="C47" s="240"/>
      <c r="D47" s="240"/>
      <c r="E47" s="240"/>
      <c r="F47" s="240"/>
      <c r="G47" s="240"/>
      <c r="H47" s="240"/>
      <c r="I47" s="240"/>
      <c r="J47" s="240"/>
      <c r="K47" s="240"/>
      <c r="L47" s="240"/>
      <c r="M47" s="306" t="s">
        <v>54</v>
      </c>
      <c r="N47" s="307" t="s">
        <v>53</v>
      </c>
      <c r="O47" s="308" t="s">
        <v>43</v>
      </c>
      <c r="P47" s="240"/>
      <c r="Q47" s="240"/>
      <c r="S47" s="321"/>
    </row>
    <row r="48" spans="1:19" ht="16.2" customHeight="1">
      <c r="A48" s="240"/>
      <c r="B48" s="240"/>
      <c r="C48" s="240"/>
      <c r="D48" s="240"/>
      <c r="E48" s="240"/>
      <c r="F48" s="240"/>
      <c r="G48" s="240"/>
      <c r="H48" s="240"/>
      <c r="I48" s="240"/>
      <c r="J48" s="240"/>
      <c r="K48" s="240"/>
      <c r="L48" s="240"/>
      <c r="M48" s="309">
        <v>1</v>
      </c>
      <c r="N48" s="310">
        <f>+'LTC RULES'!D19</f>
        <v>1499</v>
      </c>
      <c r="O48" s="311">
        <f>+'LTC RULES'!D24</f>
        <v>0.5</v>
      </c>
      <c r="P48" s="312" t="s">
        <v>229</v>
      </c>
      <c r="Q48" s="313">
        <f>+O$44*O48*O$45</f>
        <v>7927</v>
      </c>
      <c r="S48" s="321"/>
    </row>
    <row r="49" spans="1:49">
      <c r="A49" s="240"/>
      <c r="B49" s="240"/>
      <c r="C49" s="240"/>
      <c r="D49" s="240"/>
      <c r="E49" s="240"/>
      <c r="F49" s="240"/>
      <c r="G49" s="240"/>
      <c r="H49" s="240"/>
      <c r="I49" s="240"/>
      <c r="J49" s="240"/>
      <c r="K49" s="240"/>
      <c r="L49" s="240"/>
      <c r="M49" s="309">
        <f>+N48+1</f>
        <v>1500</v>
      </c>
      <c r="N49" s="310">
        <f>+'LTC RULES'!D20</f>
        <v>2499</v>
      </c>
      <c r="O49" s="311">
        <f>+'LTC RULES'!D25</f>
        <v>0.75</v>
      </c>
      <c r="P49" s="312" t="s">
        <v>229</v>
      </c>
      <c r="Q49" s="313">
        <f>+O$44*O49*O$45</f>
        <v>11890.5</v>
      </c>
      <c r="S49" s="321"/>
    </row>
    <row r="50" spans="1:49">
      <c r="A50" s="240"/>
      <c r="B50" s="240"/>
      <c r="C50" s="240"/>
      <c r="D50" s="240"/>
      <c r="E50" s="240"/>
      <c r="F50" s="240"/>
      <c r="G50" s="240"/>
      <c r="H50" s="240"/>
      <c r="I50" s="240"/>
      <c r="J50" s="240"/>
      <c r="K50" s="240"/>
      <c r="L50" s="240"/>
      <c r="M50" s="309">
        <f>+N49+1</f>
        <v>2500</v>
      </c>
      <c r="N50" s="310">
        <f>+'LTC RULES'!D21</f>
        <v>9999</v>
      </c>
      <c r="O50" s="311">
        <f>+'LTC RULES'!D26</f>
        <v>1</v>
      </c>
      <c r="P50" s="312" t="s">
        <v>229</v>
      </c>
      <c r="Q50" s="313">
        <f>+O$44*O50*O$45</f>
        <v>15854</v>
      </c>
      <c r="S50" s="321"/>
    </row>
    <row r="51" spans="1:49" ht="15.05" thickBot="1">
      <c r="A51" s="240"/>
      <c r="B51" s="240"/>
      <c r="C51" s="240"/>
      <c r="D51" s="240"/>
      <c r="E51" s="240"/>
      <c r="F51" s="240"/>
      <c r="G51" s="240"/>
      <c r="H51" s="240"/>
      <c r="I51" s="240"/>
      <c r="J51" s="240"/>
      <c r="K51" s="240"/>
      <c r="L51" s="240"/>
      <c r="M51" s="314">
        <f>+N50+1</f>
        <v>10000</v>
      </c>
      <c r="N51" s="315">
        <f>+'LTC RULES'!D22</f>
        <v>9999999</v>
      </c>
      <c r="O51" s="332">
        <f>+'LTC RULES'!D27</f>
        <v>1.5</v>
      </c>
      <c r="P51" s="312" t="s">
        <v>229</v>
      </c>
      <c r="Q51" s="313">
        <f>+O$44*O51*O$45</f>
        <v>23781</v>
      </c>
      <c r="S51" s="321"/>
    </row>
    <row r="52" spans="1:49" ht="15.75" thickTop="1" thickBot="1">
      <c r="A52" s="240"/>
      <c r="B52" s="240"/>
      <c r="C52" s="240"/>
      <c r="D52" s="240"/>
      <c r="E52" s="240"/>
      <c r="F52" s="240"/>
      <c r="G52" s="240"/>
      <c r="H52" s="240"/>
      <c r="I52" s="240"/>
      <c r="J52" s="240"/>
      <c r="K52" s="240"/>
      <c r="L52" s="240"/>
      <c r="M52" s="316"/>
      <c r="N52" s="317"/>
      <c r="O52" s="318">
        <f>+'LTC RULES'!D28</f>
        <v>2</v>
      </c>
      <c r="P52" s="312" t="s">
        <v>229</v>
      </c>
      <c r="Q52" s="313">
        <f>+O$44*O52*O$45</f>
        <v>31708</v>
      </c>
      <c r="S52" s="321"/>
    </row>
    <row r="53" spans="1:49" ht="15.05" thickBot="1">
      <c r="A53" s="240"/>
      <c r="B53" s="240"/>
      <c r="C53" s="240"/>
      <c r="D53" s="240"/>
      <c r="E53" s="240"/>
      <c r="F53" s="240"/>
      <c r="G53" s="240"/>
      <c r="H53" s="240"/>
      <c r="I53" s="240"/>
      <c r="J53" s="240"/>
      <c r="K53" s="240"/>
      <c r="L53" s="240"/>
      <c r="M53" s="240"/>
      <c r="N53" s="240"/>
      <c r="O53" s="240"/>
      <c r="P53" s="240"/>
      <c r="Q53" s="240"/>
      <c r="S53" s="321"/>
    </row>
    <row r="54" spans="1:49" ht="15.05" thickBot="1">
      <c r="A54" s="240"/>
      <c r="B54" s="240"/>
      <c r="C54" s="240"/>
      <c r="D54" s="240"/>
      <c r="E54" s="240"/>
      <c r="F54" s="240"/>
      <c r="G54" s="240"/>
      <c r="H54" s="240"/>
      <c r="I54" s="240"/>
      <c r="J54" s="240"/>
      <c r="K54" s="240"/>
      <c r="L54" s="240"/>
      <c r="M54" s="240"/>
      <c r="N54" s="296" t="s">
        <v>71</v>
      </c>
      <c r="O54" s="319">
        <f>IF(O43="OFFSHORE",+Q52,IF(O44&lt;M49,+Q48,IF(O44&lt;M50,+Q49,IF(O44&lt;M51,+Q50,+Q51))))</f>
        <v>23781</v>
      </c>
      <c r="P54" s="240"/>
      <c r="Q54" s="240"/>
      <c r="S54" s="321"/>
    </row>
    <row r="55" spans="1:49">
      <c r="A55" s="240"/>
      <c r="B55" s="240"/>
      <c r="C55" s="240"/>
      <c r="D55" s="240"/>
      <c r="E55" s="240"/>
      <c r="F55" s="240"/>
      <c r="G55" s="240"/>
      <c r="H55" s="240"/>
      <c r="I55" s="240"/>
      <c r="J55" s="240"/>
      <c r="K55" s="240"/>
      <c r="L55" s="240"/>
      <c r="M55" s="240"/>
      <c r="N55" s="296"/>
      <c r="O55" s="322"/>
      <c r="P55" s="240"/>
      <c r="Q55" s="240"/>
      <c r="S55" s="321"/>
    </row>
    <row r="56" spans="1:49">
      <c r="A56" s="321"/>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row>
    <row r="57" spans="1:49" ht="39.299999999999997" customHeight="1">
      <c r="S57" s="321"/>
      <c r="T57" s="547" t="s">
        <v>266</v>
      </c>
      <c r="U57" s="547"/>
      <c r="V57" s="547"/>
      <c r="W57" s="547"/>
      <c r="X57" s="547"/>
      <c r="Y57" s="547"/>
      <c r="Z57" s="547"/>
      <c r="AA57" s="547"/>
      <c r="AB57" s="547"/>
      <c r="AC57" s="547"/>
      <c r="AD57" s="547"/>
      <c r="AE57" s="547"/>
      <c r="AF57" s="547"/>
      <c r="AG57" s="547"/>
      <c r="AH57" s="333"/>
      <c r="AI57" s="548" t="s">
        <v>265</v>
      </c>
      <c r="AJ57" s="548"/>
      <c r="AK57" s="548"/>
      <c r="AL57" s="548"/>
      <c r="AM57" s="548"/>
      <c r="AN57" s="548"/>
      <c r="AO57" s="548"/>
      <c r="AP57" s="548"/>
      <c r="AQ57" s="548"/>
      <c r="AR57" s="548"/>
      <c r="AS57" s="548"/>
      <c r="AT57" s="548"/>
      <c r="AU57" s="548"/>
      <c r="AV57" s="548"/>
      <c r="AW57" s="321"/>
    </row>
    <row r="58" spans="1:49">
      <c r="S58" s="321"/>
      <c r="T58" s="393"/>
      <c r="U58" s="393"/>
      <c r="V58" s="393"/>
      <c r="W58" s="393"/>
      <c r="X58" s="393"/>
      <c r="Y58" s="394"/>
      <c r="Z58" s="393"/>
      <c r="AA58" s="393"/>
      <c r="AB58" s="393"/>
      <c r="AC58" s="393"/>
      <c r="AD58" s="393"/>
      <c r="AE58" s="393"/>
      <c r="AF58" s="393"/>
      <c r="AG58" s="393"/>
      <c r="AH58" s="333"/>
      <c r="AI58" s="334"/>
      <c r="AJ58" s="334"/>
      <c r="AK58" s="334"/>
      <c r="AL58" s="334"/>
      <c r="AM58" s="334"/>
      <c r="AN58" s="335"/>
      <c r="AO58" s="334"/>
      <c r="AP58" s="334"/>
      <c r="AQ58" s="334"/>
      <c r="AR58" s="334"/>
      <c r="AS58" s="334"/>
      <c r="AT58" s="334"/>
      <c r="AU58" s="334"/>
      <c r="AV58" s="334"/>
      <c r="AW58" s="321"/>
    </row>
    <row r="59" spans="1:49">
      <c r="S59" s="321"/>
      <c r="T59" s="393"/>
      <c r="U59" s="393"/>
      <c r="V59" s="393"/>
      <c r="W59" s="393"/>
      <c r="X59" s="393"/>
      <c r="Y59" s="394"/>
      <c r="Z59" s="393"/>
      <c r="AA59" s="393"/>
      <c r="AB59" s="393"/>
      <c r="AC59" s="393"/>
      <c r="AD59" s="393"/>
      <c r="AE59" s="393"/>
      <c r="AF59" s="393"/>
      <c r="AG59" s="393"/>
      <c r="AH59" s="333"/>
      <c r="AI59" s="334"/>
      <c r="AJ59" s="334"/>
      <c r="AK59" s="334"/>
      <c r="AL59" s="334"/>
      <c r="AM59" s="334"/>
      <c r="AN59" s="335"/>
      <c r="AO59" s="334"/>
      <c r="AP59" s="334"/>
      <c r="AQ59" s="334"/>
      <c r="AR59" s="334"/>
      <c r="AS59" s="334"/>
      <c r="AT59" s="334"/>
      <c r="AU59" s="334"/>
      <c r="AV59" s="334"/>
      <c r="AW59" s="321"/>
    </row>
    <row r="60" spans="1:49">
      <c r="S60" s="321"/>
      <c r="T60" s="393"/>
      <c r="U60" s="393"/>
      <c r="V60" s="556" t="s">
        <v>252</v>
      </c>
      <c r="W60" s="556"/>
      <c r="X60" s="556"/>
      <c r="Y60" s="556"/>
      <c r="Z60" s="556"/>
      <c r="AA60" s="556"/>
      <c r="AB60" s="556"/>
      <c r="AC60" s="556"/>
      <c r="AD60" s="556"/>
      <c r="AE60" s="393"/>
      <c r="AF60" s="393"/>
      <c r="AG60" s="393"/>
      <c r="AH60" s="333"/>
      <c r="AI60" s="334"/>
      <c r="AJ60" s="334"/>
      <c r="AK60" s="553" t="s">
        <v>252</v>
      </c>
      <c r="AL60" s="553"/>
      <c r="AM60" s="553"/>
      <c r="AN60" s="553"/>
      <c r="AO60" s="553"/>
      <c r="AP60" s="553"/>
      <c r="AQ60" s="553"/>
      <c r="AR60" s="553"/>
      <c r="AS60" s="553"/>
      <c r="AT60" s="334"/>
      <c r="AU60" s="334"/>
      <c r="AV60" s="334"/>
      <c r="AW60" s="321"/>
    </row>
    <row r="61" spans="1:49">
      <c r="S61" s="321"/>
      <c r="T61" s="393"/>
      <c r="U61" s="393"/>
      <c r="V61" s="556" t="s">
        <v>267</v>
      </c>
      <c r="W61" s="556"/>
      <c r="X61" s="556"/>
      <c r="Y61" s="556"/>
      <c r="Z61" s="556"/>
      <c r="AA61" s="556"/>
      <c r="AB61" s="556"/>
      <c r="AC61" s="556"/>
      <c r="AD61" s="556"/>
      <c r="AE61" s="393"/>
      <c r="AF61" s="393"/>
      <c r="AG61" s="393"/>
      <c r="AH61" s="333"/>
      <c r="AI61" s="334"/>
      <c r="AJ61" s="334"/>
      <c r="AK61" s="553" t="s">
        <v>267</v>
      </c>
      <c r="AL61" s="553"/>
      <c r="AM61" s="553"/>
      <c r="AN61" s="553"/>
      <c r="AO61" s="553"/>
      <c r="AP61" s="553"/>
      <c r="AQ61" s="553"/>
      <c r="AR61" s="553"/>
      <c r="AS61" s="553"/>
      <c r="AT61" s="334"/>
      <c r="AU61" s="334"/>
      <c r="AV61" s="334"/>
      <c r="AW61" s="321"/>
    </row>
    <row r="62" spans="1:49">
      <c r="S62" s="321"/>
      <c r="T62" s="393"/>
      <c r="U62" s="393"/>
      <c r="V62" s="556" t="s">
        <v>240</v>
      </c>
      <c r="W62" s="556"/>
      <c r="X62" s="556"/>
      <c r="Y62" s="556"/>
      <c r="Z62" s="556"/>
      <c r="AA62" s="556"/>
      <c r="AB62" s="556"/>
      <c r="AC62" s="556"/>
      <c r="AD62" s="556"/>
      <c r="AE62" s="393"/>
      <c r="AF62" s="393"/>
      <c r="AG62" s="393"/>
      <c r="AH62" s="333"/>
      <c r="AI62" s="334"/>
      <c r="AJ62" s="334"/>
      <c r="AK62" s="553" t="s">
        <v>240</v>
      </c>
      <c r="AL62" s="553"/>
      <c r="AM62" s="553"/>
      <c r="AN62" s="553"/>
      <c r="AO62" s="553"/>
      <c r="AP62" s="553"/>
      <c r="AQ62" s="553"/>
      <c r="AR62" s="553"/>
      <c r="AS62" s="553"/>
      <c r="AT62" s="334"/>
      <c r="AU62" s="334"/>
      <c r="AV62" s="334"/>
      <c r="AW62" s="321"/>
    </row>
    <row r="63" spans="1:49">
      <c r="S63" s="321"/>
      <c r="T63" s="393"/>
      <c r="U63" s="393"/>
      <c r="V63" s="395"/>
      <c r="W63" s="393"/>
      <c r="X63" s="393"/>
      <c r="Y63" s="394"/>
      <c r="Z63" s="393"/>
      <c r="AA63" s="393"/>
      <c r="AB63" s="393"/>
      <c r="AC63" s="393"/>
      <c r="AD63" s="393"/>
      <c r="AE63" s="393"/>
      <c r="AF63" s="393"/>
      <c r="AG63" s="393"/>
      <c r="AH63" s="333"/>
      <c r="AI63" s="334"/>
      <c r="AJ63" s="334"/>
      <c r="AK63" s="336"/>
      <c r="AL63" s="334"/>
      <c r="AM63" s="334"/>
      <c r="AN63" s="335"/>
      <c r="AO63" s="334"/>
      <c r="AP63" s="334"/>
      <c r="AQ63" s="334"/>
      <c r="AR63" s="334"/>
      <c r="AS63" s="334"/>
      <c r="AT63" s="334"/>
      <c r="AU63" s="334"/>
      <c r="AV63" s="334"/>
      <c r="AW63" s="321"/>
    </row>
    <row r="64" spans="1:49" ht="15.05" thickBot="1">
      <c r="S64" s="321"/>
      <c r="T64" s="393"/>
      <c r="U64" s="393"/>
      <c r="V64" s="395"/>
      <c r="W64" s="393"/>
      <c r="X64" s="393"/>
      <c r="Y64" s="394"/>
      <c r="Z64" s="393"/>
      <c r="AA64" s="393"/>
      <c r="AB64" s="393"/>
      <c r="AC64" s="393"/>
      <c r="AD64" s="393"/>
      <c r="AE64" s="393"/>
      <c r="AF64" s="393"/>
      <c r="AG64" s="393"/>
      <c r="AH64" s="333"/>
      <c r="AI64" s="334"/>
      <c r="AJ64" s="334"/>
      <c r="AK64" s="336"/>
      <c r="AL64" s="334"/>
      <c r="AM64" s="334"/>
      <c r="AN64" s="335"/>
      <c r="AO64" s="334"/>
      <c r="AP64" s="334"/>
      <c r="AQ64" s="334"/>
      <c r="AR64" s="334"/>
      <c r="AS64" s="334"/>
      <c r="AT64" s="334"/>
      <c r="AU64" s="334"/>
      <c r="AV64" s="334"/>
      <c r="AW64" s="321"/>
    </row>
    <row r="65" spans="19:49" ht="18" customHeight="1" thickBot="1">
      <c r="S65" s="321"/>
      <c r="T65" s="393"/>
      <c r="U65" s="396"/>
      <c r="V65" s="397" t="s">
        <v>268</v>
      </c>
      <c r="W65" s="398">
        <f>+'PROPERTY DATA'!D30</f>
        <v>100</v>
      </c>
      <c r="X65" s="557" t="s">
        <v>253</v>
      </c>
      <c r="Y65" s="558"/>
      <c r="Z65" s="558"/>
      <c r="AA65" s="558"/>
      <c r="AB65" s="558"/>
      <c r="AC65" s="399"/>
      <c r="AD65" s="400"/>
      <c r="AE65" s="401">
        <f>IF(W66="m",+W65,+W65*30.417)</f>
        <v>3041.7000000000003</v>
      </c>
      <c r="AF65" s="402" t="s">
        <v>241</v>
      </c>
      <c r="AG65" s="399"/>
      <c r="AH65" s="333"/>
      <c r="AI65" s="334"/>
      <c r="AJ65" s="337"/>
      <c r="AK65" s="338" t="s">
        <v>268</v>
      </c>
      <c r="AL65" s="339">
        <f>+'PROPERTY DATA'!D47</f>
        <v>1000</v>
      </c>
      <c r="AM65" s="554" t="s">
        <v>253</v>
      </c>
      <c r="AN65" s="555"/>
      <c r="AO65" s="555"/>
      <c r="AP65" s="555"/>
      <c r="AQ65" s="555"/>
      <c r="AR65" s="340"/>
      <c r="AS65" s="341"/>
      <c r="AT65" s="342">
        <f>IF(AL66="m",+AL65,+AL65*30.417)</f>
        <v>30417</v>
      </c>
      <c r="AU65" s="343" t="s">
        <v>241</v>
      </c>
      <c r="AV65" s="334"/>
      <c r="AW65" s="321"/>
    </row>
    <row r="66" spans="19:49" ht="18" customHeight="1" thickBot="1">
      <c r="S66" s="321"/>
      <c r="T66" s="393"/>
      <c r="U66" s="396"/>
      <c r="V66" s="397"/>
      <c r="W66" s="398" t="str">
        <f>+'PROPERTY DATA'!D31</f>
        <v>D</v>
      </c>
      <c r="X66" s="557" t="s">
        <v>254</v>
      </c>
      <c r="Y66" s="558"/>
      <c r="Z66" s="558"/>
      <c r="AA66" s="558"/>
      <c r="AB66" s="558"/>
      <c r="AC66" s="399"/>
      <c r="AD66" s="403"/>
      <c r="AE66" s="404" t="s">
        <v>269</v>
      </c>
      <c r="AF66" s="405">
        <f>VLOOKUP(AF67,V107:W406,2)</f>
        <v>433.77093582348584</v>
      </c>
      <c r="AG66" s="399"/>
      <c r="AH66" s="333"/>
      <c r="AI66" s="334"/>
      <c r="AJ66" s="337"/>
      <c r="AK66" s="338"/>
      <c r="AL66" s="344" t="str">
        <f>+'PROPERTY DATA'!D48</f>
        <v>D</v>
      </c>
      <c r="AM66" s="554" t="s">
        <v>254</v>
      </c>
      <c r="AN66" s="555"/>
      <c r="AO66" s="555"/>
      <c r="AP66" s="555"/>
      <c r="AQ66" s="555"/>
      <c r="AR66" s="340"/>
      <c r="AS66" s="345"/>
      <c r="AT66" s="346" t="s">
        <v>269</v>
      </c>
      <c r="AU66" s="347">
        <f>VLOOKUP(AU67,AK107:AL406,2)</f>
        <v>2621.8860954335555</v>
      </c>
      <c r="AV66" s="334"/>
      <c r="AW66" s="321"/>
    </row>
    <row r="67" spans="19:49" ht="18" customHeight="1" thickBot="1">
      <c r="S67" s="321"/>
      <c r="T67" s="393"/>
      <c r="U67" s="396"/>
      <c r="V67" s="397" t="s">
        <v>270</v>
      </c>
      <c r="W67" s="398">
        <v>50</v>
      </c>
      <c r="X67" s="557" t="s">
        <v>255</v>
      </c>
      <c r="Y67" s="558"/>
      <c r="Z67" s="558"/>
      <c r="AA67" s="558"/>
      <c r="AB67" s="558"/>
      <c r="AC67" s="399"/>
      <c r="AD67" s="403"/>
      <c r="AE67" s="404" t="s">
        <v>271</v>
      </c>
      <c r="AF67" s="405">
        <f>VLOOKUP("Y",AB108:AC406,2,FALSE)</f>
        <v>87</v>
      </c>
      <c r="AG67" s="399"/>
      <c r="AH67" s="333"/>
      <c r="AI67" s="334"/>
      <c r="AJ67" s="337"/>
      <c r="AK67" s="338" t="s">
        <v>270</v>
      </c>
      <c r="AL67" s="339">
        <f>+'PROPERTY DATA'!D49*100</f>
        <v>65</v>
      </c>
      <c r="AM67" s="554" t="s">
        <v>255</v>
      </c>
      <c r="AN67" s="555"/>
      <c r="AO67" s="555"/>
      <c r="AP67" s="555"/>
      <c r="AQ67" s="555"/>
      <c r="AR67" s="340"/>
      <c r="AS67" s="345"/>
      <c r="AT67" s="346" t="s">
        <v>271</v>
      </c>
      <c r="AU67" s="347">
        <f>VLOOKUP("Y",AQ108:AR406,2,FALSE)</f>
        <v>69</v>
      </c>
      <c r="AV67" s="334"/>
      <c r="AW67" s="321"/>
    </row>
    <row r="68" spans="19:49" ht="18" customHeight="1">
      <c r="S68" s="321"/>
      <c r="T68" s="393"/>
      <c r="U68" s="396"/>
      <c r="V68" s="397" t="s">
        <v>242</v>
      </c>
      <c r="W68" s="406">
        <f>+'PROPERTY DATA'!D33</f>
        <v>1.2</v>
      </c>
      <c r="X68" s="557" t="s">
        <v>286</v>
      </c>
      <c r="Y68" s="558"/>
      <c r="Z68" s="558"/>
      <c r="AA68" s="558"/>
      <c r="AB68" s="558"/>
      <c r="AC68" s="399"/>
      <c r="AD68" s="403"/>
      <c r="AE68" s="399"/>
      <c r="AF68" s="407"/>
      <c r="AG68" s="399"/>
      <c r="AH68" s="333"/>
      <c r="AI68" s="334"/>
      <c r="AJ68" s="337"/>
      <c r="AK68" s="338" t="s">
        <v>242</v>
      </c>
      <c r="AL68" s="348">
        <f>+'PROPERTY DATA'!D50</f>
        <v>1</v>
      </c>
      <c r="AM68" s="557" t="s">
        <v>286</v>
      </c>
      <c r="AN68" s="558"/>
      <c r="AO68" s="558"/>
      <c r="AP68" s="558"/>
      <c r="AQ68" s="558"/>
      <c r="AR68" s="340"/>
      <c r="AS68" s="345"/>
      <c r="AT68" s="340"/>
      <c r="AU68" s="349"/>
      <c r="AV68" s="334"/>
      <c r="AW68" s="321"/>
    </row>
    <row r="69" spans="19:49" ht="18" customHeight="1">
      <c r="S69" s="321"/>
      <c r="T69" s="393"/>
      <c r="U69" s="396"/>
      <c r="V69" s="397" t="s">
        <v>272</v>
      </c>
      <c r="W69" s="398">
        <f>+'PROPERTY DATA'!D34*100</f>
        <v>10</v>
      </c>
      <c r="X69" s="557" t="s">
        <v>256</v>
      </c>
      <c r="Y69" s="558"/>
      <c r="Z69" s="558"/>
      <c r="AA69" s="558"/>
      <c r="AB69" s="558"/>
      <c r="AC69" s="399"/>
      <c r="AD69" s="403"/>
      <c r="AE69" s="399"/>
      <c r="AF69" s="407"/>
      <c r="AG69" s="399"/>
      <c r="AH69" s="333"/>
      <c r="AI69" s="334"/>
      <c r="AJ69" s="337"/>
      <c r="AK69" s="338" t="s">
        <v>272</v>
      </c>
      <c r="AL69" s="344">
        <f>+'PROPERTY DATA'!D51*100</f>
        <v>15</v>
      </c>
      <c r="AM69" s="554" t="s">
        <v>256</v>
      </c>
      <c r="AN69" s="555"/>
      <c r="AO69" s="555"/>
      <c r="AP69" s="555"/>
      <c r="AQ69" s="555"/>
      <c r="AR69" s="340"/>
      <c r="AS69" s="345"/>
      <c r="AT69" s="340"/>
      <c r="AU69" s="349"/>
      <c r="AV69" s="334"/>
      <c r="AW69" s="321"/>
    </row>
    <row r="70" spans="19:49">
      <c r="S70" s="321"/>
      <c r="T70" s="334"/>
      <c r="U70" s="337"/>
      <c r="V70" s="334"/>
      <c r="W70" s="334"/>
      <c r="X70" s="334"/>
      <c r="Y70" s="335"/>
      <c r="Z70" s="334"/>
      <c r="AA70" s="334"/>
      <c r="AB70" s="334"/>
      <c r="AC70" s="334"/>
      <c r="AD70" s="334"/>
      <c r="AE70" s="334"/>
      <c r="AF70" s="334"/>
      <c r="AG70" s="334"/>
      <c r="AH70" s="333"/>
      <c r="AI70" s="334"/>
      <c r="AJ70" s="337"/>
      <c r="AK70" s="334"/>
      <c r="AL70" s="334"/>
      <c r="AM70" s="334"/>
      <c r="AN70" s="335"/>
      <c r="AO70" s="334"/>
      <c r="AP70" s="334"/>
      <c r="AQ70" s="334"/>
      <c r="AR70" s="334"/>
      <c r="AS70" s="334"/>
      <c r="AT70" s="334"/>
      <c r="AU70" s="334"/>
      <c r="AV70" s="334"/>
      <c r="AW70" s="321"/>
    </row>
    <row r="71" spans="19:49" ht="20.3">
      <c r="S71" s="321"/>
      <c r="T71" s="334"/>
      <c r="U71" s="334"/>
      <c r="V71" s="549" t="s">
        <v>273</v>
      </c>
      <c r="W71" s="549"/>
      <c r="X71" s="549"/>
      <c r="Y71" s="549"/>
      <c r="Z71" s="549"/>
      <c r="AA71" s="549"/>
      <c r="AB71" s="549"/>
      <c r="AC71" s="549"/>
      <c r="AD71" s="549"/>
      <c r="AE71" s="334"/>
      <c r="AF71" s="334"/>
      <c r="AG71" s="334"/>
      <c r="AH71" s="333"/>
      <c r="AI71" s="334"/>
      <c r="AJ71" s="334"/>
      <c r="AK71" s="549" t="s">
        <v>273</v>
      </c>
      <c r="AL71" s="549"/>
      <c r="AM71" s="549"/>
      <c r="AN71" s="549"/>
      <c r="AO71" s="549"/>
      <c r="AP71" s="549"/>
      <c r="AQ71" s="549"/>
      <c r="AR71" s="549"/>
      <c r="AS71" s="549"/>
      <c r="AT71" s="334"/>
      <c r="AU71" s="334"/>
      <c r="AV71" s="334"/>
      <c r="AW71" s="321"/>
    </row>
    <row r="72" spans="19:49" ht="15.05" thickBot="1">
      <c r="S72" s="321"/>
      <c r="T72" s="334"/>
      <c r="U72" s="334"/>
      <c r="V72" s="334"/>
      <c r="W72" s="334"/>
      <c r="X72" s="334"/>
      <c r="Y72" s="335"/>
      <c r="Z72" s="334"/>
      <c r="AA72" s="334"/>
      <c r="AB72" s="334"/>
      <c r="AC72" s="334"/>
      <c r="AD72" s="334"/>
      <c r="AE72" s="334"/>
      <c r="AF72" s="334"/>
      <c r="AG72" s="334"/>
      <c r="AH72" s="333"/>
      <c r="AI72" s="334"/>
      <c r="AJ72" s="334"/>
      <c r="AK72" s="334"/>
      <c r="AL72" s="334"/>
      <c r="AM72" s="334"/>
      <c r="AN72" s="335"/>
      <c r="AO72" s="334"/>
      <c r="AP72" s="334"/>
      <c r="AQ72" s="334"/>
      <c r="AR72" s="334"/>
      <c r="AS72" s="334"/>
      <c r="AT72" s="334"/>
      <c r="AU72" s="334"/>
      <c r="AV72" s="334"/>
      <c r="AW72" s="321"/>
    </row>
    <row r="73" spans="19:49" ht="6.05" customHeight="1">
      <c r="S73" s="321"/>
      <c r="T73" s="334"/>
      <c r="U73" s="334"/>
      <c r="V73" s="334"/>
      <c r="W73" s="351"/>
      <c r="X73" s="352"/>
      <c r="Y73" s="353"/>
      <c r="Z73" s="352"/>
      <c r="AA73" s="354"/>
      <c r="AB73" s="334"/>
      <c r="AC73" s="334"/>
      <c r="AD73" s="334"/>
      <c r="AE73" s="334"/>
      <c r="AF73" s="334"/>
      <c r="AG73" s="334"/>
      <c r="AH73" s="333"/>
      <c r="AI73" s="334"/>
      <c r="AJ73" s="334"/>
      <c r="AK73" s="334"/>
      <c r="AL73" s="351"/>
      <c r="AM73" s="352"/>
      <c r="AN73" s="353"/>
      <c r="AO73" s="352"/>
      <c r="AP73" s="354"/>
      <c r="AQ73" s="334"/>
      <c r="AR73" s="334"/>
      <c r="AS73" s="334"/>
      <c r="AT73" s="334"/>
      <c r="AU73" s="334"/>
      <c r="AV73" s="334"/>
      <c r="AW73" s="321"/>
    </row>
    <row r="74" spans="19:49" ht="25.05" customHeight="1">
      <c r="S74" s="321"/>
      <c r="T74" s="334"/>
      <c r="U74" s="334"/>
      <c r="V74" s="334"/>
      <c r="W74" s="550" t="s">
        <v>274</v>
      </c>
      <c r="X74" s="551" t="s">
        <v>268</v>
      </c>
      <c r="Y74" s="551"/>
      <c r="Z74" s="551"/>
      <c r="AA74" s="355"/>
      <c r="AB74" s="334"/>
      <c r="AC74" s="334"/>
      <c r="AD74" s="334"/>
      <c r="AE74" s="334"/>
      <c r="AF74" s="334"/>
      <c r="AG74" s="334"/>
      <c r="AH74" s="333"/>
      <c r="AI74" s="334"/>
      <c r="AJ74" s="334"/>
      <c r="AK74" s="334"/>
      <c r="AL74" s="550" t="s">
        <v>274</v>
      </c>
      <c r="AM74" s="551" t="s">
        <v>268</v>
      </c>
      <c r="AN74" s="551"/>
      <c r="AO74" s="551"/>
      <c r="AP74" s="355"/>
      <c r="AQ74" s="334"/>
      <c r="AR74" s="334"/>
      <c r="AS74" s="334"/>
      <c r="AT74" s="334"/>
      <c r="AU74" s="334"/>
      <c r="AV74" s="334"/>
      <c r="AW74" s="321"/>
    </row>
    <row r="75" spans="19:49" ht="25.05" customHeight="1">
      <c r="S75" s="321"/>
      <c r="T75" s="334"/>
      <c r="U75" s="334"/>
      <c r="V75" s="334"/>
      <c r="W75" s="550"/>
      <c r="X75" s="559" t="s">
        <v>275</v>
      </c>
      <c r="Y75" s="559"/>
      <c r="Z75" s="559"/>
      <c r="AA75" s="355"/>
      <c r="AB75" s="334"/>
      <c r="AC75" s="334"/>
      <c r="AD75" s="334"/>
      <c r="AE75" s="334"/>
      <c r="AF75" s="334"/>
      <c r="AG75" s="334"/>
      <c r="AH75" s="333"/>
      <c r="AI75" s="334"/>
      <c r="AJ75" s="334"/>
      <c r="AK75" s="334"/>
      <c r="AL75" s="550"/>
      <c r="AM75" s="552" t="s">
        <v>275</v>
      </c>
      <c r="AN75" s="552"/>
      <c r="AO75" s="552"/>
      <c r="AP75" s="355"/>
      <c r="AQ75" s="334"/>
      <c r="AR75" s="334"/>
      <c r="AS75" s="334"/>
      <c r="AT75" s="334"/>
      <c r="AU75" s="334"/>
      <c r="AV75" s="334"/>
      <c r="AW75" s="321"/>
    </row>
    <row r="76" spans="19:49" ht="6.05" customHeight="1" thickBot="1">
      <c r="S76" s="321"/>
      <c r="T76" s="334"/>
      <c r="U76" s="334"/>
      <c r="V76" s="334"/>
      <c r="W76" s="356"/>
      <c r="X76" s="357"/>
      <c r="Y76" s="358"/>
      <c r="Z76" s="357"/>
      <c r="AA76" s="359"/>
      <c r="AB76" s="334"/>
      <c r="AC76" s="334"/>
      <c r="AD76" s="334"/>
      <c r="AE76" s="334"/>
      <c r="AF76" s="334"/>
      <c r="AG76" s="334"/>
      <c r="AH76" s="333"/>
      <c r="AI76" s="334"/>
      <c r="AJ76" s="334"/>
      <c r="AK76" s="334"/>
      <c r="AL76" s="356"/>
      <c r="AM76" s="357"/>
      <c r="AN76" s="358"/>
      <c r="AO76" s="357"/>
      <c r="AP76" s="359"/>
      <c r="AQ76" s="334"/>
      <c r="AR76" s="334"/>
      <c r="AS76" s="334"/>
      <c r="AT76" s="334"/>
      <c r="AU76" s="334"/>
      <c r="AV76" s="334"/>
      <c r="AW76" s="321"/>
    </row>
    <row r="77" spans="19:49">
      <c r="S77" s="321"/>
      <c r="T77" s="334"/>
      <c r="U77" s="334"/>
      <c r="V77" s="334"/>
      <c r="W77" s="334"/>
      <c r="X77" s="334"/>
      <c r="Y77" s="335"/>
      <c r="Z77" s="334"/>
      <c r="AA77" s="334"/>
      <c r="AB77" s="334"/>
      <c r="AC77" s="334"/>
      <c r="AD77" s="334"/>
      <c r="AE77" s="334"/>
      <c r="AF77" s="334"/>
      <c r="AG77" s="334"/>
      <c r="AH77" s="333"/>
      <c r="AI77" s="334"/>
      <c r="AJ77" s="334"/>
      <c r="AK77" s="334"/>
      <c r="AL77" s="334"/>
      <c r="AM77" s="334"/>
      <c r="AN77" s="335"/>
      <c r="AO77" s="334"/>
      <c r="AP77" s="334"/>
      <c r="AQ77" s="334"/>
      <c r="AR77" s="334"/>
      <c r="AS77" s="334"/>
      <c r="AT77" s="334"/>
      <c r="AU77" s="334"/>
      <c r="AV77" s="334"/>
      <c r="AW77" s="321"/>
    </row>
    <row r="78" spans="19:49" ht="83.8" customHeight="1">
      <c r="S78" s="321"/>
      <c r="T78" s="334"/>
      <c r="U78" s="334"/>
      <c r="V78" s="546" t="s">
        <v>287</v>
      </c>
      <c r="W78" s="546"/>
      <c r="X78" s="546"/>
      <c r="Y78" s="546"/>
      <c r="Z78" s="546"/>
      <c r="AA78" s="546"/>
      <c r="AB78" s="546"/>
      <c r="AC78" s="546"/>
      <c r="AD78" s="546"/>
      <c r="AE78" s="546"/>
      <c r="AF78" s="546"/>
      <c r="AG78" s="334"/>
      <c r="AH78" s="333"/>
      <c r="AI78" s="334"/>
      <c r="AJ78" s="334"/>
      <c r="AK78" s="546" t="s">
        <v>287</v>
      </c>
      <c r="AL78" s="546"/>
      <c r="AM78" s="546"/>
      <c r="AN78" s="546"/>
      <c r="AO78" s="546"/>
      <c r="AP78" s="546"/>
      <c r="AQ78" s="546"/>
      <c r="AR78" s="546"/>
      <c r="AS78" s="546"/>
      <c r="AT78" s="546"/>
      <c r="AU78" s="546"/>
      <c r="AV78" s="334"/>
      <c r="AW78" s="321"/>
    </row>
    <row r="79" spans="19:49" ht="70.05" customHeight="1">
      <c r="S79" s="321"/>
      <c r="T79" s="334"/>
      <c r="U79" s="334"/>
      <c r="V79" s="546" t="s">
        <v>285</v>
      </c>
      <c r="W79" s="546"/>
      <c r="X79" s="546"/>
      <c r="Y79" s="546"/>
      <c r="Z79" s="546"/>
      <c r="AA79" s="546"/>
      <c r="AB79" s="546"/>
      <c r="AC79" s="546"/>
      <c r="AD79" s="546"/>
      <c r="AE79" s="546"/>
      <c r="AF79" s="546"/>
      <c r="AG79" s="334"/>
      <c r="AH79" s="333"/>
      <c r="AI79" s="334"/>
      <c r="AJ79" s="334"/>
      <c r="AK79" s="546" t="s">
        <v>285</v>
      </c>
      <c r="AL79" s="546"/>
      <c r="AM79" s="546"/>
      <c r="AN79" s="546"/>
      <c r="AO79" s="546"/>
      <c r="AP79" s="546"/>
      <c r="AQ79" s="546"/>
      <c r="AR79" s="546"/>
      <c r="AS79" s="546"/>
      <c r="AT79" s="546"/>
      <c r="AU79" s="546"/>
      <c r="AV79" s="334"/>
      <c r="AW79" s="321"/>
    </row>
    <row r="80" spans="19:49">
      <c r="S80" s="321"/>
      <c r="T80" s="334"/>
      <c r="U80" s="334"/>
      <c r="V80" s="334"/>
      <c r="W80" s="334"/>
      <c r="X80" s="334"/>
      <c r="Y80" s="335"/>
      <c r="Z80" s="334"/>
      <c r="AA80" s="334"/>
      <c r="AB80" s="334"/>
      <c r="AC80" s="334"/>
      <c r="AD80" s="334"/>
      <c r="AE80" s="334"/>
      <c r="AF80" s="334"/>
      <c r="AG80" s="334"/>
      <c r="AH80" s="333"/>
      <c r="AI80" s="334"/>
      <c r="AJ80" s="334"/>
      <c r="AK80" s="334"/>
      <c r="AL80" s="334"/>
      <c r="AM80" s="334"/>
      <c r="AN80" s="335"/>
      <c r="AO80" s="334"/>
      <c r="AP80" s="334"/>
      <c r="AQ80" s="334"/>
      <c r="AR80" s="334"/>
      <c r="AS80" s="334"/>
      <c r="AT80" s="334"/>
      <c r="AU80" s="334"/>
      <c r="AV80" s="334"/>
      <c r="AW80" s="321"/>
    </row>
    <row r="81" spans="19:49">
      <c r="S81" s="321"/>
      <c r="T81" s="334"/>
      <c r="U81" s="334"/>
      <c r="V81" s="334"/>
      <c r="W81" s="334"/>
      <c r="X81" s="334"/>
      <c r="Y81" s="335"/>
      <c r="Z81" s="334"/>
      <c r="AA81" s="334"/>
      <c r="AB81" s="334"/>
      <c r="AC81" s="334"/>
      <c r="AD81" s="334"/>
      <c r="AE81" s="334"/>
      <c r="AF81" s="334"/>
      <c r="AG81" s="334"/>
      <c r="AH81" s="333"/>
      <c r="AI81" s="334"/>
      <c r="AJ81" s="334"/>
      <c r="AK81" s="334"/>
      <c r="AL81" s="334"/>
      <c r="AM81" s="334"/>
      <c r="AN81" s="335"/>
      <c r="AO81" s="334"/>
      <c r="AP81" s="334"/>
      <c r="AQ81" s="334"/>
      <c r="AR81" s="334"/>
      <c r="AS81" s="334"/>
      <c r="AT81" s="334"/>
      <c r="AU81" s="334"/>
      <c r="AV81" s="334"/>
      <c r="AW81" s="321"/>
    </row>
    <row r="82" spans="19:49">
      <c r="S82" s="321"/>
      <c r="T82" s="334"/>
      <c r="U82" s="334"/>
      <c r="V82" s="334"/>
      <c r="W82" s="334"/>
      <c r="X82" s="334"/>
      <c r="Y82" s="335"/>
      <c r="Z82" s="334"/>
      <c r="AA82" s="334"/>
      <c r="AB82" s="334"/>
      <c r="AC82" s="334"/>
      <c r="AD82" s="334"/>
      <c r="AE82" s="334"/>
      <c r="AF82" s="334"/>
      <c r="AG82" s="334"/>
      <c r="AH82" s="333"/>
      <c r="AI82" s="334"/>
      <c r="AJ82" s="334"/>
      <c r="AK82" s="334"/>
      <c r="AL82" s="334"/>
      <c r="AM82" s="334"/>
      <c r="AN82" s="335"/>
      <c r="AO82" s="334"/>
      <c r="AP82" s="334"/>
      <c r="AQ82" s="334"/>
      <c r="AR82" s="334"/>
      <c r="AS82" s="334"/>
      <c r="AT82" s="334"/>
      <c r="AU82" s="334"/>
      <c r="AV82" s="334"/>
      <c r="AW82" s="321"/>
    </row>
    <row r="83" spans="19:49">
      <c r="S83" s="321"/>
      <c r="T83" s="334"/>
      <c r="U83" s="334"/>
      <c r="V83" s="334"/>
      <c r="W83" s="334"/>
      <c r="X83" s="334"/>
      <c r="Y83" s="335"/>
      <c r="Z83" s="334"/>
      <c r="AA83" s="334"/>
      <c r="AB83" s="334"/>
      <c r="AC83" s="334"/>
      <c r="AD83" s="334"/>
      <c r="AE83" s="334"/>
      <c r="AF83" s="334"/>
      <c r="AG83" s="334"/>
      <c r="AH83" s="333"/>
      <c r="AI83" s="334"/>
      <c r="AJ83" s="334"/>
      <c r="AK83" s="334"/>
      <c r="AL83" s="334"/>
      <c r="AM83" s="334"/>
      <c r="AN83" s="335"/>
      <c r="AO83" s="334"/>
      <c r="AP83" s="334"/>
      <c r="AQ83" s="334"/>
      <c r="AR83" s="334"/>
      <c r="AS83" s="334"/>
      <c r="AT83" s="334"/>
      <c r="AU83" s="334"/>
      <c r="AV83" s="334"/>
      <c r="AW83" s="321"/>
    </row>
    <row r="84" spans="19:49">
      <c r="S84" s="321"/>
      <c r="T84" s="334"/>
      <c r="U84" s="334"/>
      <c r="V84" s="334"/>
      <c r="W84" s="334"/>
      <c r="X84" s="334"/>
      <c r="Y84" s="335"/>
      <c r="Z84" s="334"/>
      <c r="AA84" s="334"/>
      <c r="AB84" s="334"/>
      <c r="AC84" s="334"/>
      <c r="AD84" s="334"/>
      <c r="AE84" s="334"/>
      <c r="AF84" s="334"/>
      <c r="AG84" s="334"/>
      <c r="AH84" s="333"/>
      <c r="AI84" s="334"/>
      <c r="AJ84" s="334"/>
      <c r="AK84" s="334"/>
      <c r="AL84" s="334"/>
      <c r="AM84" s="334"/>
      <c r="AN84" s="335"/>
      <c r="AO84" s="334"/>
      <c r="AP84" s="334"/>
      <c r="AQ84" s="334"/>
      <c r="AR84" s="334"/>
      <c r="AS84" s="334"/>
      <c r="AT84" s="334"/>
      <c r="AU84" s="334"/>
      <c r="AV84" s="334"/>
      <c r="AW84" s="321"/>
    </row>
    <row r="85" spans="19:49">
      <c r="S85" s="321"/>
      <c r="T85" s="334"/>
      <c r="U85" s="334"/>
      <c r="V85" s="334"/>
      <c r="W85" s="334"/>
      <c r="X85" s="334"/>
      <c r="Y85" s="335"/>
      <c r="Z85" s="334"/>
      <c r="AA85" s="334"/>
      <c r="AB85" s="334"/>
      <c r="AC85" s="334"/>
      <c r="AD85" s="334"/>
      <c r="AE85" s="334"/>
      <c r="AF85" s="334"/>
      <c r="AG85" s="334"/>
      <c r="AH85" s="333"/>
      <c r="AI85" s="334"/>
      <c r="AJ85" s="334"/>
      <c r="AK85" s="334"/>
      <c r="AL85" s="334"/>
      <c r="AM85" s="334"/>
      <c r="AN85" s="335"/>
      <c r="AO85" s="334"/>
      <c r="AP85" s="334"/>
      <c r="AQ85" s="334"/>
      <c r="AR85" s="334"/>
      <c r="AS85" s="334"/>
      <c r="AT85" s="334"/>
      <c r="AU85" s="334"/>
      <c r="AV85" s="334"/>
      <c r="AW85" s="321"/>
    </row>
    <row r="86" spans="19:49">
      <c r="S86" s="321"/>
      <c r="T86" s="334"/>
      <c r="U86" s="334"/>
      <c r="V86" s="334"/>
      <c r="W86" s="334"/>
      <c r="X86" s="334"/>
      <c r="Y86" s="335"/>
      <c r="Z86" s="334"/>
      <c r="AA86" s="334"/>
      <c r="AB86" s="334"/>
      <c r="AC86" s="334"/>
      <c r="AD86" s="334"/>
      <c r="AE86" s="334"/>
      <c r="AF86" s="334"/>
      <c r="AG86" s="334"/>
      <c r="AH86" s="333"/>
      <c r="AI86" s="334"/>
      <c r="AJ86" s="334"/>
      <c r="AK86" s="334"/>
      <c r="AL86" s="334"/>
      <c r="AM86" s="334"/>
      <c r="AN86" s="335"/>
      <c r="AO86" s="334"/>
      <c r="AP86" s="334"/>
      <c r="AQ86" s="334"/>
      <c r="AR86" s="334"/>
      <c r="AS86" s="334"/>
      <c r="AT86" s="334"/>
      <c r="AU86" s="334"/>
      <c r="AV86" s="334"/>
      <c r="AW86" s="321"/>
    </row>
    <row r="87" spans="19:49">
      <c r="S87" s="321"/>
      <c r="T87" s="334"/>
      <c r="U87" s="334"/>
      <c r="V87" s="334"/>
      <c r="W87" s="334"/>
      <c r="X87" s="334"/>
      <c r="Y87" s="335"/>
      <c r="Z87" s="334"/>
      <c r="AA87" s="334"/>
      <c r="AB87" s="334"/>
      <c r="AC87" s="334"/>
      <c r="AD87" s="334"/>
      <c r="AE87" s="334"/>
      <c r="AF87" s="334"/>
      <c r="AG87" s="334"/>
      <c r="AH87" s="333"/>
      <c r="AI87" s="334"/>
      <c r="AJ87" s="334"/>
      <c r="AK87" s="334"/>
      <c r="AL87" s="334"/>
      <c r="AM87" s="334"/>
      <c r="AN87" s="335"/>
      <c r="AO87" s="334"/>
      <c r="AP87" s="334"/>
      <c r="AQ87" s="334"/>
      <c r="AR87" s="334"/>
      <c r="AS87" s="334"/>
      <c r="AT87" s="334"/>
      <c r="AU87" s="334"/>
      <c r="AV87" s="334"/>
      <c r="AW87" s="321"/>
    </row>
    <row r="88" spans="19:49">
      <c r="S88" s="321"/>
      <c r="T88" s="334"/>
      <c r="U88" s="334"/>
      <c r="V88" s="334"/>
      <c r="W88" s="334"/>
      <c r="X88" s="334"/>
      <c r="Y88" s="335"/>
      <c r="Z88" s="334"/>
      <c r="AA88" s="334"/>
      <c r="AB88" s="334"/>
      <c r="AC88" s="334"/>
      <c r="AD88" s="334"/>
      <c r="AE88" s="334"/>
      <c r="AF88" s="334"/>
      <c r="AG88" s="334"/>
      <c r="AH88" s="333"/>
      <c r="AI88" s="334"/>
      <c r="AJ88" s="334"/>
      <c r="AK88" s="334"/>
      <c r="AL88" s="334"/>
      <c r="AM88" s="334"/>
      <c r="AN88" s="335"/>
      <c r="AO88" s="334"/>
      <c r="AP88" s="334"/>
      <c r="AQ88" s="334"/>
      <c r="AR88" s="334"/>
      <c r="AS88" s="334"/>
      <c r="AT88" s="334"/>
      <c r="AU88" s="334"/>
      <c r="AV88" s="334"/>
      <c r="AW88" s="321"/>
    </row>
    <row r="89" spans="19:49">
      <c r="S89" s="321"/>
      <c r="T89" s="334"/>
      <c r="U89" s="334"/>
      <c r="V89" s="334"/>
      <c r="W89" s="334"/>
      <c r="X89" s="334"/>
      <c r="Y89" s="335"/>
      <c r="Z89" s="334"/>
      <c r="AA89" s="334"/>
      <c r="AB89" s="334"/>
      <c r="AC89" s="334"/>
      <c r="AD89" s="334"/>
      <c r="AE89" s="334"/>
      <c r="AF89" s="334"/>
      <c r="AG89" s="334"/>
      <c r="AH89" s="333"/>
      <c r="AI89" s="334"/>
      <c r="AJ89" s="334"/>
      <c r="AK89" s="334"/>
      <c r="AL89" s="334"/>
      <c r="AM89" s="334"/>
      <c r="AN89" s="335"/>
      <c r="AO89" s="334"/>
      <c r="AP89" s="334"/>
      <c r="AQ89" s="334"/>
      <c r="AR89" s="334"/>
      <c r="AS89" s="334"/>
      <c r="AT89" s="334"/>
      <c r="AU89" s="334"/>
      <c r="AV89" s="334"/>
      <c r="AW89" s="321"/>
    </row>
    <row r="90" spans="19:49">
      <c r="S90" s="321"/>
      <c r="T90" s="334"/>
      <c r="U90" s="334"/>
      <c r="V90" s="334"/>
      <c r="W90" s="334"/>
      <c r="X90" s="334"/>
      <c r="Y90" s="335"/>
      <c r="Z90" s="334"/>
      <c r="AA90" s="334"/>
      <c r="AB90" s="334"/>
      <c r="AC90" s="334"/>
      <c r="AD90" s="334"/>
      <c r="AE90" s="334"/>
      <c r="AF90" s="334"/>
      <c r="AG90" s="334"/>
      <c r="AH90" s="333"/>
      <c r="AI90" s="334"/>
      <c r="AJ90" s="334"/>
      <c r="AK90" s="334"/>
      <c r="AL90" s="334"/>
      <c r="AM90" s="334"/>
      <c r="AN90" s="335"/>
      <c r="AO90" s="334"/>
      <c r="AP90" s="334"/>
      <c r="AQ90" s="334"/>
      <c r="AR90" s="334"/>
      <c r="AS90" s="334"/>
      <c r="AT90" s="334"/>
      <c r="AU90" s="334"/>
      <c r="AV90" s="334"/>
      <c r="AW90" s="321"/>
    </row>
    <row r="91" spans="19:49">
      <c r="S91" s="321"/>
      <c r="T91" s="334"/>
      <c r="U91" s="334"/>
      <c r="V91" s="334"/>
      <c r="W91" s="334"/>
      <c r="X91" s="334"/>
      <c r="Y91" s="335"/>
      <c r="Z91" s="334"/>
      <c r="AA91" s="334"/>
      <c r="AB91" s="334"/>
      <c r="AC91" s="334"/>
      <c r="AD91" s="334"/>
      <c r="AE91" s="334"/>
      <c r="AF91" s="334"/>
      <c r="AG91" s="334"/>
      <c r="AH91" s="333"/>
      <c r="AI91" s="334"/>
      <c r="AJ91" s="334"/>
      <c r="AK91" s="334"/>
      <c r="AL91" s="334"/>
      <c r="AM91" s="334"/>
      <c r="AN91" s="335"/>
      <c r="AO91" s="334"/>
      <c r="AP91" s="334"/>
      <c r="AQ91" s="334"/>
      <c r="AR91" s="334"/>
      <c r="AS91" s="334"/>
      <c r="AT91" s="334"/>
      <c r="AU91" s="334"/>
      <c r="AV91" s="334"/>
      <c r="AW91" s="321"/>
    </row>
    <row r="92" spans="19:49">
      <c r="S92" s="321"/>
      <c r="T92" s="334"/>
      <c r="U92" s="334"/>
      <c r="V92" s="334"/>
      <c r="W92" s="334"/>
      <c r="X92" s="334"/>
      <c r="Y92" s="335"/>
      <c r="Z92" s="334"/>
      <c r="AA92" s="334"/>
      <c r="AB92" s="334"/>
      <c r="AC92" s="334"/>
      <c r="AD92" s="334"/>
      <c r="AE92" s="334"/>
      <c r="AF92" s="334"/>
      <c r="AG92" s="334"/>
      <c r="AH92" s="333"/>
      <c r="AI92" s="334"/>
      <c r="AJ92" s="334"/>
      <c r="AK92" s="334"/>
      <c r="AL92" s="334"/>
      <c r="AM92" s="334"/>
      <c r="AN92" s="335"/>
      <c r="AO92" s="334"/>
      <c r="AP92" s="334"/>
      <c r="AQ92" s="334"/>
      <c r="AR92" s="334"/>
      <c r="AS92" s="334"/>
      <c r="AT92" s="334"/>
      <c r="AU92" s="334"/>
      <c r="AV92" s="334"/>
      <c r="AW92" s="321"/>
    </row>
    <row r="93" spans="19:49">
      <c r="S93" s="321"/>
      <c r="T93" s="334"/>
      <c r="U93" s="334"/>
      <c r="V93" s="334"/>
      <c r="W93" s="334"/>
      <c r="X93" s="334"/>
      <c r="Y93" s="335"/>
      <c r="Z93" s="334"/>
      <c r="AA93" s="334"/>
      <c r="AB93" s="334"/>
      <c r="AC93" s="334"/>
      <c r="AD93" s="334"/>
      <c r="AE93" s="334"/>
      <c r="AF93" s="334"/>
      <c r="AG93" s="334"/>
      <c r="AH93" s="333"/>
      <c r="AI93" s="334"/>
      <c r="AJ93" s="334"/>
      <c r="AK93" s="334"/>
      <c r="AL93" s="334"/>
      <c r="AM93" s="334"/>
      <c r="AN93" s="335"/>
      <c r="AO93" s="334"/>
      <c r="AP93" s="334"/>
      <c r="AQ93" s="334"/>
      <c r="AR93" s="334"/>
      <c r="AS93" s="334"/>
      <c r="AT93" s="334"/>
      <c r="AU93" s="334"/>
      <c r="AV93" s="334"/>
      <c r="AW93" s="321"/>
    </row>
    <row r="94" spans="19:49">
      <c r="S94" s="321"/>
      <c r="T94" s="334"/>
      <c r="U94" s="334"/>
      <c r="V94" s="334"/>
      <c r="W94" s="334"/>
      <c r="X94" s="334"/>
      <c r="Y94" s="335"/>
      <c r="Z94" s="334"/>
      <c r="AA94" s="334"/>
      <c r="AB94" s="334"/>
      <c r="AC94" s="334"/>
      <c r="AD94" s="334"/>
      <c r="AE94" s="334"/>
      <c r="AF94" s="334"/>
      <c r="AG94" s="334"/>
      <c r="AH94" s="333"/>
      <c r="AI94" s="334"/>
      <c r="AJ94" s="334"/>
      <c r="AK94" s="334"/>
      <c r="AL94" s="334"/>
      <c r="AM94" s="334"/>
      <c r="AN94" s="335"/>
      <c r="AO94" s="334"/>
      <c r="AP94" s="334"/>
      <c r="AQ94" s="334"/>
      <c r="AR94" s="334"/>
      <c r="AS94" s="334"/>
      <c r="AT94" s="334"/>
      <c r="AU94" s="334"/>
      <c r="AV94" s="334"/>
      <c r="AW94" s="321"/>
    </row>
    <row r="95" spans="19:49">
      <c r="S95" s="321"/>
      <c r="T95" s="334"/>
      <c r="U95" s="334"/>
      <c r="V95" s="334"/>
      <c r="W95" s="334"/>
      <c r="X95" s="334"/>
      <c r="Y95" s="335"/>
      <c r="Z95" s="334"/>
      <c r="AA95" s="334"/>
      <c r="AB95" s="334"/>
      <c r="AC95" s="334"/>
      <c r="AD95" s="334"/>
      <c r="AE95" s="334"/>
      <c r="AF95" s="334"/>
      <c r="AG95" s="334"/>
      <c r="AH95" s="333"/>
      <c r="AI95" s="334"/>
      <c r="AJ95" s="334"/>
      <c r="AK95" s="334"/>
      <c r="AL95" s="334"/>
      <c r="AM95" s="334"/>
      <c r="AN95" s="335"/>
      <c r="AO95" s="334"/>
      <c r="AP95" s="334"/>
      <c r="AQ95" s="334"/>
      <c r="AR95" s="334"/>
      <c r="AS95" s="334"/>
      <c r="AT95" s="334"/>
      <c r="AU95" s="334"/>
      <c r="AV95" s="334"/>
      <c r="AW95" s="321"/>
    </row>
    <row r="96" spans="19:49">
      <c r="S96" s="321"/>
      <c r="T96" s="334"/>
      <c r="U96" s="334"/>
      <c r="V96" s="334"/>
      <c r="W96" s="334"/>
      <c r="X96" s="334"/>
      <c r="Y96" s="335"/>
      <c r="Z96" s="334"/>
      <c r="AA96" s="334"/>
      <c r="AB96" s="334"/>
      <c r="AC96" s="334"/>
      <c r="AD96" s="334"/>
      <c r="AE96" s="334"/>
      <c r="AF96" s="334"/>
      <c r="AG96" s="334"/>
      <c r="AH96" s="333"/>
      <c r="AI96" s="334"/>
      <c r="AJ96" s="334"/>
      <c r="AK96" s="334"/>
      <c r="AL96" s="334"/>
      <c r="AM96" s="334"/>
      <c r="AN96" s="335"/>
      <c r="AO96" s="334"/>
      <c r="AP96" s="334"/>
      <c r="AQ96" s="334"/>
      <c r="AR96" s="334"/>
      <c r="AS96" s="334"/>
      <c r="AT96" s="334"/>
      <c r="AU96" s="334"/>
      <c r="AV96" s="334"/>
      <c r="AW96" s="321"/>
    </row>
    <row r="97" spans="19:49">
      <c r="S97" s="321"/>
      <c r="T97" s="334"/>
      <c r="U97" s="334"/>
      <c r="V97" s="334"/>
      <c r="W97" s="334"/>
      <c r="X97" s="334"/>
      <c r="Y97" s="335"/>
      <c r="Z97" s="334"/>
      <c r="AA97" s="334"/>
      <c r="AB97" s="334"/>
      <c r="AC97" s="334"/>
      <c r="AD97" s="334"/>
      <c r="AE97" s="334"/>
      <c r="AF97" s="334"/>
      <c r="AG97" s="334"/>
      <c r="AH97" s="333"/>
      <c r="AI97" s="334"/>
      <c r="AJ97" s="334"/>
      <c r="AK97" s="334"/>
      <c r="AL97" s="334"/>
      <c r="AM97" s="334"/>
      <c r="AN97" s="335"/>
      <c r="AO97" s="334"/>
      <c r="AP97" s="334"/>
      <c r="AQ97" s="334"/>
      <c r="AR97" s="334"/>
      <c r="AS97" s="334"/>
      <c r="AT97" s="334"/>
      <c r="AU97" s="334"/>
      <c r="AV97" s="334"/>
      <c r="AW97" s="321"/>
    </row>
    <row r="98" spans="19:49">
      <c r="S98" s="321"/>
      <c r="T98" s="334"/>
      <c r="U98" s="334"/>
      <c r="V98" s="334"/>
      <c r="W98" s="334"/>
      <c r="X98" s="334"/>
      <c r="Y98" s="335"/>
      <c r="Z98" s="334"/>
      <c r="AA98" s="334"/>
      <c r="AB98" s="334"/>
      <c r="AC98" s="334"/>
      <c r="AD98" s="334"/>
      <c r="AE98" s="334"/>
      <c r="AF98" s="334"/>
      <c r="AG98" s="334"/>
      <c r="AH98" s="333"/>
      <c r="AI98" s="334"/>
      <c r="AJ98" s="334"/>
      <c r="AK98" s="334"/>
      <c r="AL98" s="334"/>
      <c r="AM98" s="334"/>
      <c r="AN98" s="335"/>
      <c r="AO98" s="334"/>
      <c r="AP98" s="334"/>
      <c r="AQ98" s="334"/>
      <c r="AR98" s="334"/>
      <c r="AS98" s="334"/>
      <c r="AT98" s="334"/>
      <c r="AU98" s="334"/>
      <c r="AV98" s="334"/>
      <c r="AW98" s="321"/>
    </row>
    <row r="99" spans="19:49">
      <c r="S99" s="321"/>
      <c r="T99" s="334"/>
      <c r="U99" s="334"/>
      <c r="V99" s="334"/>
      <c r="W99" s="334"/>
      <c r="X99" s="334"/>
      <c r="Y99" s="335"/>
      <c r="Z99" s="334"/>
      <c r="AA99" s="334"/>
      <c r="AB99" s="334"/>
      <c r="AC99" s="334"/>
      <c r="AD99" s="334"/>
      <c r="AE99" s="334"/>
      <c r="AF99" s="334"/>
      <c r="AG99" s="334"/>
      <c r="AH99" s="333"/>
      <c r="AI99" s="334"/>
      <c r="AJ99" s="334"/>
      <c r="AK99" s="334"/>
      <c r="AL99" s="334"/>
      <c r="AM99" s="334"/>
      <c r="AN99" s="335"/>
      <c r="AO99" s="334"/>
      <c r="AP99" s="334"/>
      <c r="AQ99" s="334"/>
      <c r="AR99" s="334"/>
      <c r="AS99" s="334"/>
      <c r="AT99" s="334"/>
      <c r="AU99" s="334"/>
      <c r="AV99" s="334"/>
      <c r="AW99" s="321"/>
    </row>
    <row r="100" spans="19:49">
      <c r="S100" s="321"/>
      <c r="T100" s="334"/>
      <c r="U100" s="334"/>
      <c r="V100" s="334"/>
      <c r="W100" s="334"/>
      <c r="X100" s="334"/>
      <c r="Y100" s="335"/>
      <c r="Z100" s="334"/>
      <c r="AA100" s="334"/>
      <c r="AB100" s="334"/>
      <c r="AC100" s="334"/>
      <c r="AD100" s="334"/>
      <c r="AE100" s="334"/>
      <c r="AF100" s="334"/>
      <c r="AG100" s="334"/>
      <c r="AH100" s="333"/>
      <c r="AI100" s="334"/>
      <c r="AJ100" s="334"/>
      <c r="AK100" s="334"/>
      <c r="AL100" s="334"/>
      <c r="AM100" s="334"/>
      <c r="AN100" s="335"/>
      <c r="AO100" s="334"/>
      <c r="AP100" s="334"/>
      <c r="AQ100" s="334"/>
      <c r="AR100" s="334"/>
      <c r="AS100" s="334"/>
      <c r="AT100" s="334"/>
      <c r="AU100" s="334"/>
      <c r="AV100" s="334"/>
      <c r="AW100" s="321"/>
    </row>
    <row r="101" spans="19:49">
      <c r="S101" s="321"/>
      <c r="T101" s="334"/>
      <c r="U101" s="334"/>
      <c r="V101" s="334"/>
      <c r="W101" s="334"/>
      <c r="X101" s="334"/>
      <c r="Y101" s="335"/>
      <c r="Z101" s="334"/>
      <c r="AA101" s="334"/>
      <c r="AB101" s="334"/>
      <c r="AC101" s="334"/>
      <c r="AD101" s="334"/>
      <c r="AE101" s="334"/>
      <c r="AF101" s="334"/>
      <c r="AG101" s="334"/>
      <c r="AH101" s="333"/>
      <c r="AI101" s="334"/>
      <c r="AJ101" s="334"/>
      <c r="AK101" s="334"/>
      <c r="AL101" s="334"/>
      <c r="AM101" s="334"/>
      <c r="AN101" s="335"/>
      <c r="AO101" s="334"/>
      <c r="AP101" s="334"/>
      <c r="AQ101" s="334"/>
      <c r="AR101" s="334"/>
      <c r="AS101" s="334"/>
      <c r="AT101" s="334"/>
      <c r="AU101" s="334"/>
      <c r="AV101" s="334"/>
      <c r="AW101" s="321"/>
    </row>
    <row r="102" spans="19:49">
      <c r="S102" s="321"/>
      <c r="T102" s="334"/>
      <c r="U102" s="334"/>
      <c r="V102" s="334"/>
      <c r="W102" s="334"/>
      <c r="X102" s="334"/>
      <c r="Y102" s="335"/>
      <c r="Z102" s="334"/>
      <c r="AA102" s="334"/>
      <c r="AB102" s="334"/>
      <c r="AC102" s="334"/>
      <c r="AD102" s="334"/>
      <c r="AE102" s="334"/>
      <c r="AF102" s="334"/>
      <c r="AG102" s="334"/>
      <c r="AH102" s="333"/>
      <c r="AI102" s="334"/>
      <c r="AJ102" s="334"/>
      <c r="AK102" s="334"/>
      <c r="AL102" s="334"/>
      <c r="AM102" s="334"/>
      <c r="AN102" s="335"/>
      <c r="AO102" s="334"/>
      <c r="AP102" s="334"/>
      <c r="AQ102" s="334"/>
      <c r="AR102" s="334"/>
      <c r="AS102" s="334"/>
      <c r="AT102" s="334"/>
      <c r="AU102" s="334"/>
      <c r="AV102" s="334"/>
      <c r="AW102" s="321"/>
    </row>
    <row r="103" spans="19:49">
      <c r="S103" s="321"/>
      <c r="T103" s="334"/>
      <c r="U103" s="334"/>
      <c r="V103" s="334"/>
      <c r="W103" s="334"/>
      <c r="X103" s="334"/>
      <c r="Y103" s="335"/>
      <c r="Z103" s="334"/>
      <c r="AA103" s="334"/>
      <c r="AB103" s="334"/>
      <c r="AC103" s="334"/>
      <c r="AD103" s="334"/>
      <c r="AE103" s="334"/>
      <c r="AF103" s="334"/>
      <c r="AG103" s="334"/>
      <c r="AH103" s="333"/>
      <c r="AI103" s="334"/>
      <c r="AJ103" s="334"/>
      <c r="AK103" s="334"/>
      <c r="AL103" s="334"/>
      <c r="AM103" s="334"/>
      <c r="AN103" s="335"/>
      <c r="AO103" s="334"/>
      <c r="AP103" s="334"/>
      <c r="AQ103" s="334"/>
      <c r="AR103" s="334"/>
      <c r="AS103" s="334"/>
      <c r="AT103" s="334"/>
      <c r="AU103" s="334"/>
      <c r="AV103" s="334"/>
      <c r="AW103" s="321"/>
    </row>
    <row r="104" spans="19:49">
      <c r="S104" s="321"/>
      <c r="T104" s="334"/>
      <c r="U104" s="334"/>
      <c r="V104" s="334"/>
      <c r="W104" s="334"/>
      <c r="X104" s="334"/>
      <c r="Y104" s="335"/>
      <c r="Z104" s="334"/>
      <c r="AA104" s="334"/>
      <c r="AB104" s="334"/>
      <c r="AC104" s="334"/>
      <c r="AD104" s="334"/>
      <c r="AE104" s="334"/>
      <c r="AF104" s="334"/>
      <c r="AG104" s="334"/>
      <c r="AH104" s="333"/>
      <c r="AI104" s="334"/>
      <c r="AJ104" s="334"/>
      <c r="AK104" s="334"/>
      <c r="AL104" s="334"/>
      <c r="AM104" s="334"/>
      <c r="AN104" s="335"/>
      <c r="AO104" s="334"/>
      <c r="AP104" s="334"/>
      <c r="AQ104" s="334"/>
      <c r="AR104" s="334"/>
      <c r="AS104" s="334"/>
      <c r="AT104" s="334"/>
      <c r="AU104" s="334"/>
      <c r="AV104" s="334"/>
      <c r="AW104" s="321"/>
    </row>
    <row r="105" spans="19:49" ht="15.05" thickBot="1">
      <c r="S105" s="321"/>
      <c r="T105" s="334"/>
      <c r="U105" s="334"/>
      <c r="V105" s="336" t="s">
        <v>243</v>
      </c>
      <c r="W105" s="334"/>
      <c r="X105" s="334"/>
      <c r="Y105" s="335"/>
      <c r="Z105" s="334"/>
      <c r="AA105" s="334"/>
      <c r="AB105" s="334"/>
      <c r="AC105" s="334"/>
      <c r="AD105" s="334"/>
      <c r="AE105" s="334"/>
      <c r="AF105" s="334"/>
      <c r="AG105" s="334"/>
      <c r="AH105" s="333"/>
      <c r="AI105" s="334"/>
      <c r="AJ105" s="334"/>
      <c r="AK105" s="336" t="s">
        <v>243</v>
      </c>
      <c r="AL105" s="334"/>
      <c r="AM105" s="334"/>
      <c r="AN105" s="335"/>
      <c r="AO105" s="334"/>
      <c r="AP105" s="334"/>
      <c r="AQ105" s="334"/>
      <c r="AR105" s="334"/>
      <c r="AS105" s="334"/>
      <c r="AT105" s="334"/>
      <c r="AU105" s="334"/>
      <c r="AV105" s="334"/>
      <c r="AW105" s="321"/>
    </row>
    <row r="106" spans="19:49" ht="62.2">
      <c r="S106" s="321"/>
      <c r="T106" s="340"/>
      <c r="U106" s="360" t="s">
        <v>244</v>
      </c>
      <c r="V106" s="361" t="s">
        <v>245</v>
      </c>
      <c r="W106" s="362" t="s">
        <v>246</v>
      </c>
      <c r="X106" s="363" t="s">
        <v>247</v>
      </c>
      <c r="Y106" s="364" t="s">
        <v>251</v>
      </c>
      <c r="Z106" s="334"/>
      <c r="AA106" s="334"/>
      <c r="AB106" s="334"/>
      <c r="AC106" s="334"/>
      <c r="AD106" s="334"/>
      <c r="AE106" s="334"/>
      <c r="AF106" s="340"/>
      <c r="AG106" s="340"/>
      <c r="AH106" s="333"/>
      <c r="AI106" s="334"/>
      <c r="AJ106" s="360" t="s">
        <v>244</v>
      </c>
      <c r="AK106" s="361" t="s">
        <v>245</v>
      </c>
      <c r="AL106" s="362" t="s">
        <v>246</v>
      </c>
      <c r="AM106" s="363" t="s">
        <v>247</v>
      </c>
      <c r="AN106" s="364" t="s">
        <v>251</v>
      </c>
      <c r="AO106" s="334"/>
      <c r="AP106" s="334"/>
      <c r="AQ106" s="334"/>
      <c r="AR106" s="334"/>
      <c r="AS106" s="334"/>
      <c r="AT106" s="334"/>
      <c r="AU106" s="340"/>
      <c r="AV106" s="340"/>
      <c r="AW106" s="321"/>
    </row>
    <row r="107" spans="19:49">
      <c r="S107" s="321"/>
      <c r="T107" s="334"/>
      <c r="U107" s="365"/>
      <c r="V107" s="366">
        <v>0.5</v>
      </c>
      <c r="W107" s="367">
        <f>+AE$65/((1+(V107/12)*((1-W$67/100)^(-W$68)-1)))^(1/W$68)</f>
        <v>2911.1363898622112</v>
      </c>
      <c r="X107" s="368"/>
      <c r="Y107" s="369"/>
      <c r="Z107" s="337"/>
      <c r="AA107" s="337"/>
      <c r="AB107" s="337"/>
      <c r="AC107" s="337">
        <v>1</v>
      </c>
      <c r="AD107" s="334"/>
      <c r="AE107" s="334"/>
      <c r="AF107" s="334"/>
      <c r="AG107" s="334"/>
      <c r="AH107" s="333"/>
      <c r="AI107" s="334"/>
      <c r="AJ107" s="365"/>
      <c r="AK107" s="366">
        <v>0.5</v>
      </c>
      <c r="AL107" s="367">
        <f>+AT$65/((1+(AK107/12)*((1-AL$67/100)^(-AL$68)-1)))^(1/AL$68)</f>
        <v>28232.353591160223</v>
      </c>
      <c r="AM107" s="368"/>
      <c r="AN107" s="369"/>
      <c r="AO107" s="337"/>
      <c r="AP107" s="337"/>
      <c r="AQ107" s="337"/>
      <c r="AR107" s="337">
        <v>1</v>
      </c>
      <c r="AS107" s="334"/>
      <c r="AT107" s="334"/>
      <c r="AU107" s="334"/>
      <c r="AV107" s="334"/>
      <c r="AW107" s="321"/>
    </row>
    <row r="108" spans="19:49">
      <c r="S108" s="321"/>
      <c r="T108" s="334"/>
      <c r="U108" s="365"/>
      <c r="V108" s="366">
        <f t="shared" ref="V108:V171" si="7">1+V107</f>
        <v>1.5</v>
      </c>
      <c r="W108" s="367">
        <f>+AE$65/((1+(V108/12)*((1-W$67/100)^(-W$68)-1)))^(1/W$68)</f>
        <v>2683.635727650053</v>
      </c>
      <c r="X108" s="370"/>
      <c r="Y108" s="369"/>
      <c r="Z108" s="371">
        <f t="shared" ref="Z108:Z171" si="8">TRUNC(1-(W108/W107),8)</f>
        <v>7.8148400000000007E-2</v>
      </c>
      <c r="AA108" s="371">
        <f t="shared" ref="AA108:AA171" si="9">TRUNC(Z108-(1-(1-(W$69/100))^(1/12)),8)</f>
        <v>6.9406780000000001E-2</v>
      </c>
      <c r="AB108" s="372" t="str">
        <f t="shared" ref="AB108:AB171" si="10">IF(AA108&lt;0,"Y","N")</f>
        <v>N</v>
      </c>
      <c r="AC108" s="337">
        <v>2</v>
      </c>
      <c r="AD108" s="334"/>
      <c r="AE108" s="334"/>
      <c r="AF108" s="334"/>
      <c r="AG108" s="334"/>
      <c r="AH108" s="333"/>
      <c r="AI108" s="334"/>
      <c r="AJ108" s="365"/>
      <c r="AK108" s="366">
        <f t="shared" ref="AK108:AK171" si="11">1+AK107</f>
        <v>1.5</v>
      </c>
      <c r="AL108" s="367">
        <f>+AT$65/((1+(AK108/12)*((1-AL$67/100)^(-AL$68)-1)))^(1/AL$68)</f>
        <v>24686.260869565216</v>
      </c>
      <c r="AM108" s="370"/>
      <c r="AN108" s="369"/>
      <c r="AO108" s="371">
        <f t="shared" ref="AO108:AO171" si="12">TRUNC(1-(AL108/AL107),8)</f>
        <v>0.12560386000000001</v>
      </c>
      <c r="AP108" s="371">
        <f t="shared" ref="AP108:AP171" si="13">TRUNC(AO108-(1-(1-(AL$69/100))^(1/12)),8)</f>
        <v>0.11215190999999999</v>
      </c>
      <c r="AQ108" s="372" t="str">
        <f t="shared" ref="AQ108:AQ171" si="14">IF(AP108&lt;0,"Y","N")</f>
        <v>N</v>
      </c>
      <c r="AR108" s="337">
        <v>2</v>
      </c>
      <c r="AS108" s="334"/>
      <c r="AT108" s="334"/>
      <c r="AU108" s="334"/>
      <c r="AV108" s="334"/>
      <c r="AW108" s="321"/>
    </row>
    <row r="109" spans="19:49">
      <c r="S109" s="321"/>
      <c r="T109" s="334"/>
      <c r="U109" s="365"/>
      <c r="V109" s="366">
        <f t="shared" si="7"/>
        <v>2.5</v>
      </c>
      <c r="W109" s="367">
        <f t="shared" ref="W109:W172" si="15">IF(AA108&lt;=0,AF$66*(1-(dt/100))^((V109-AF$67)/12),AE$65/((1+(V109/12)*((1-W$67/100)^(-W$68)-1)))^(1/W$68))</f>
        <v>2491.898596649974</v>
      </c>
      <c r="X109" s="370"/>
      <c r="Y109" s="369"/>
      <c r="Z109" s="371">
        <f t="shared" si="8"/>
        <v>7.1446770000000007E-2</v>
      </c>
      <c r="AA109" s="371">
        <f t="shared" si="9"/>
        <v>6.2705150000000001E-2</v>
      </c>
      <c r="AB109" s="372" t="str">
        <f t="shared" si="10"/>
        <v>N</v>
      </c>
      <c r="AC109" s="337">
        <v>3</v>
      </c>
      <c r="AD109" s="334"/>
      <c r="AE109" s="334"/>
      <c r="AF109" s="334"/>
      <c r="AG109" s="334"/>
      <c r="AH109" s="333"/>
      <c r="AI109" s="334"/>
      <c r="AJ109" s="365"/>
      <c r="AK109" s="366">
        <f t="shared" si="11"/>
        <v>2.5</v>
      </c>
      <c r="AL109" s="367">
        <f t="shared" ref="AL109:AL172" si="16">IF(AP108&lt;=0,AU$66*(1-(AL$69/100))^((AK109-AU$67)/12),AT$65/((1+(AK109/12)*((1-AL$67/100)^(-AL$68)-1)))^(1/AL$68))</f>
        <v>21931.570815450643</v>
      </c>
      <c r="AM109" s="370"/>
      <c r="AN109" s="369"/>
      <c r="AO109" s="371">
        <f t="shared" si="12"/>
        <v>0.11158798</v>
      </c>
      <c r="AP109" s="371">
        <f t="shared" si="13"/>
        <v>9.8136029999999999E-2</v>
      </c>
      <c r="AQ109" s="372" t="str">
        <f t="shared" si="14"/>
        <v>N</v>
      </c>
      <c r="AR109" s="337">
        <v>3</v>
      </c>
      <c r="AS109" s="334"/>
      <c r="AT109" s="334"/>
      <c r="AU109" s="334"/>
      <c r="AV109" s="334"/>
      <c r="AW109" s="321"/>
    </row>
    <row r="110" spans="19:49">
      <c r="S110" s="321"/>
      <c r="T110" s="334"/>
      <c r="U110" s="365"/>
      <c r="V110" s="366">
        <f t="shared" si="7"/>
        <v>3.5</v>
      </c>
      <c r="W110" s="367">
        <f t="shared" si="15"/>
        <v>2327.9218038222939</v>
      </c>
      <c r="X110" s="370"/>
      <c r="Y110" s="369"/>
      <c r="Z110" s="371">
        <f t="shared" si="8"/>
        <v>6.580395E-2</v>
      </c>
      <c r="AA110" s="371">
        <f t="shared" si="9"/>
        <v>5.7062330000000001E-2</v>
      </c>
      <c r="AB110" s="372" t="str">
        <f t="shared" si="10"/>
        <v>N</v>
      </c>
      <c r="AC110" s="337">
        <v>4</v>
      </c>
      <c r="AD110" s="334"/>
      <c r="AE110" s="334"/>
      <c r="AF110" s="334"/>
      <c r="AG110" s="334"/>
      <c r="AH110" s="333"/>
      <c r="AI110" s="334"/>
      <c r="AJ110" s="365"/>
      <c r="AK110" s="366">
        <f t="shared" si="11"/>
        <v>3.5</v>
      </c>
      <c r="AL110" s="367">
        <f t="shared" si="16"/>
        <v>19729.945945945947</v>
      </c>
      <c r="AM110" s="370"/>
      <c r="AN110" s="369"/>
      <c r="AO110" s="371">
        <f t="shared" si="12"/>
        <v>0.10038610000000001</v>
      </c>
      <c r="AP110" s="371">
        <f t="shared" si="13"/>
        <v>8.6934150000000002E-2</v>
      </c>
      <c r="AQ110" s="372" t="str">
        <f t="shared" si="14"/>
        <v>N</v>
      </c>
      <c r="AR110" s="337">
        <v>4</v>
      </c>
      <c r="AS110" s="334"/>
      <c r="AT110" s="334"/>
      <c r="AU110" s="334"/>
      <c r="AV110" s="334"/>
      <c r="AW110" s="321"/>
    </row>
    <row r="111" spans="19:49">
      <c r="S111" s="321"/>
      <c r="T111" s="334"/>
      <c r="U111" s="365"/>
      <c r="V111" s="366">
        <f t="shared" si="7"/>
        <v>4.5</v>
      </c>
      <c r="W111" s="367">
        <f t="shared" si="15"/>
        <v>2185.9480184166077</v>
      </c>
      <c r="X111" s="370"/>
      <c r="Y111" s="369"/>
      <c r="Z111" s="371">
        <f t="shared" si="8"/>
        <v>6.0987350000000003E-2</v>
      </c>
      <c r="AA111" s="371">
        <f t="shared" si="9"/>
        <v>5.2245729999999997E-2</v>
      </c>
      <c r="AB111" s="372" t="str">
        <f t="shared" si="10"/>
        <v>N</v>
      </c>
      <c r="AC111" s="337">
        <v>5</v>
      </c>
      <c r="AD111" s="334"/>
      <c r="AE111" s="334"/>
      <c r="AF111" s="334"/>
      <c r="AG111" s="334"/>
      <c r="AH111" s="333"/>
      <c r="AI111" s="334"/>
      <c r="AJ111" s="365"/>
      <c r="AK111" s="366">
        <f t="shared" si="11"/>
        <v>4.5</v>
      </c>
      <c r="AL111" s="367">
        <f t="shared" si="16"/>
        <v>17930.021052631579</v>
      </c>
      <c r="AM111" s="370"/>
      <c r="AN111" s="369"/>
      <c r="AO111" s="371">
        <f t="shared" si="12"/>
        <v>9.1228069999999994E-2</v>
      </c>
      <c r="AP111" s="371">
        <f t="shared" si="13"/>
        <v>7.7776120000000004E-2</v>
      </c>
      <c r="AQ111" s="372" t="str">
        <f t="shared" si="14"/>
        <v>N</v>
      </c>
      <c r="AR111" s="337">
        <v>5</v>
      </c>
      <c r="AS111" s="334"/>
      <c r="AT111" s="334"/>
      <c r="AU111" s="334"/>
      <c r="AV111" s="334"/>
      <c r="AW111" s="321"/>
    </row>
    <row r="112" spans="19:49">
      <c r="S112" s="321"/>
      <c r="T112" s="334"/>
      <c r="U112" s="365"/>
      <c r="V112" s="366">
        <f t="shared" si="7"/>
        <v>5.5</v>
      </c>
      <c r="W112" s="367">
        <f t="shared" si="15"/>
        <v>2061.7252840831243</v>
      </c>
      <c r="X112" s="370"/>
      <c r="Y112" s="369"/>
      <c r="Z112" s="371">
        <f t="shared" si="8"/>
        <v>5.6827849999999999E-2</v>
      </c>
      <c r="AA112" s="371">
        <f t="shared" si="9"/>
        <v>4.8086230000000001E-2</v>
      </c>
      <c r="AB112" s="372" t="str">
        <f t="shared" si="10"/>
        <v>N</v>
      </c>
      <c r="AC112" s="337">
        <v>6</v>
      </c>
      <c r="AD112" s="334"/>
      <c r="AE112" s="334"/>
      <c r="AF112" s="334"/>
      <c r="AG112" s="334"/>
      <c r="AH112" s="333"/>
      <c r="AI112" s="334"/>
      <c r="AJ112" s="365"/>
      <c r="AK112" s="366">
        <f t="shared" si="11"/>
        <v>5.5</v>
      </c>
      <c r="AL112" s="367">
        <f t="shared" si="16"/>
        <v>16431.048231511253</v>
      </c>
      <c r="AM112" s="370"/>
      <c r="AN112" s="369"/>
      <c r="AO112" s="371">
        <f t="shared" si="12"/>
        <v>8.360128E-2</v>
      </c>
      <c r="AP112" s="371">
        <f t="shared" si="13"/>
        <v>7.0149329999999996E-2</v>
      </c>
      <c r="AQ112" s="372" t="str">
        <f t="shared" si="14"/>
        <v>N</v>
      </c>
      <c r="AR112" s="337">
        <v>6</v>
      </c>
      <c r="AS112" s="334"/>
      <c r="AT112" s="334"/>
      <c r="AU112" s="334"/>
      <c r="AV112" s="334"/>
      <c r="AW112" s="321"/>
    </row>
    <row r="113" spans="19:49">
      <c r="S113" s="321"/>
      <c r="T113" s="334"/>
      <c r="U113" s="365"/>
      <c r="V113" s="366">
        <f t="shared" si="7"/>
        <v>6.5</v>
      </c>
      <c r="W113" s="367">
        <f t="shared" si="15"/>
        <v>1952.0423904203337</v>
      </c>
      <c r="X113" s="370"/>
      <c r="Y113" s="369"/>
      <c r="Z113" s="371">
        <f t="shared" si="8"/>
        <v>5.319956E-2</v>
      </c>
      <c r="AA113" s="371">
        <f t="shared" si="9"/>
        <v>4.4457940000000001E-2</v>
      </c>
      <c r="AB113" s="372" t="str">
        <f t="shared" si="10"/>
        <v>N</v>
      </c>
      <c r="AC113" s="337">
        <v>7</v>
      </c>
      <c r="AD113" s="334"/>
      <c r="AE113" s="334"/>
      <c r="AF113" s="334"/>
      <c r="AG113" s="334"/>
      <c r="AH113" s="333"/>
      <c r="AI113" s="334"/>
      <c r="AJ113" s="365"/>
      <c r="AK113" s="366">
        <f t="shared" si="11"/>
        <v>6.5</v>
      </c>
      <c r="AL113" s="367">
        <f t="shared" si="16"/>
        <v>15163.370919881307</v>
      </c>
      <c r="AM113" s="370"/>
      <c r="AN113" s="369"/>
      <c r="AO113" s="371">
        <f t="shared" si="12"/>
        <v>7.7151330000000004E-2</v>
      </c>
      <c r="AP113" s="371">
        <f t="shared" si="13"/>
        <v>6.369938E-2</v>
      </c>
      <c r="AQ113" s="372" t="str">
        <f t="shared" si="14"/>
        <v>N</v>
      </c>
      <c r="AR113" s="337">
        <v>7</v>
      </c>
      <c r="AS113" s="334"/>
      <c r="AT113" s="334"/>
      <c r="AU113" s="334"/>
      <c r="AV113" s="334"/>
      <c r="AW113" s="321"/>
    </row>
    <row r="114" spans="19:49">
      <c r="S114" s="321"/>
      <c r="T114" s="334"/>
      <c r="U114" s="365"/>
      <c r="V114" s="366">
        <f t="shared" si="7"/>
        <v>7.5</v>
      </c>
      <c r="W114" s="367">
        <f t="shared" si="15"/>
        <v>1854.4269397957253</v>
      </c>
      <c r="X114" s="370"/>
      <c r="Y114" s="369"/>
      <c r="Z114" s="371">
        <f t="shared" si="8"/>
        <v>5.000682E-2</v>
      </c>
      <c r="AA114" s="371">
        <f t="shared" si="9"/>
        <v>4.1265200000000002E-2</v>
      </c>
      <c r="AB114" s="372" t="str">
        <f t="shared" si="10"/>
        <v>N</v>
      </c>
      <c r="AC114" s="337">
        <v>8</v>
      </c>
      <c r="AD114" s="334"/>
      <c r="AE114" s="334"/>
      <c r="AF114" s="334"/>
      <c r="AG114" s="334"/>
      <c r="AH114" s="333"/>
      <c r="AI114" s="334"/>
      <c r="AJ114" s="365"/>
      <c r="AK114" s="366">
        <f t="shared" si="11"/>
        <v>7.5</v>
      </c>
      <c r="AL114" s="367">
        <f t="shared" si="16"/>
        <v>14077.289256198348</v>
      </c>
      <c r="AM114" s="370"/>
      <c r="AN114" s="369"/>
      <c r="AO114" s="371">
        <f t="shared" si="12"/>
        <v>7.1625339999999996E-2</v>
      </c>
      <c r="AP114" s="371">
        <f t="shared" si="13"/>
        <v>5.8173389999999998E-2</v>
      </c>
      <c r="AQ114" s="372" t="str">
        <f t="shared" si="14"/>
        <v>N</v>
      </c>
      <c r="AR114" s="337">
        <v>8</v>
      </c>
      <c r="AS114" s="334"/>
      <c r="AT114" s="334"/>
      <c r="AU114" s="334"/>
      <c r="AV114" s="334"/>
      <c r="AW114" s="321"/>
    </row>
    <row r="115" spans="19:49">
      <c r="S115" s="321"/>
      <c r="T115" s="334"/>
      <c r="U115" s="365"/>
      <c r="V115" s="366">
        <f t="shared" si="7"/>
        <v>8.5</v>
      </c>
      <c r="W115" s="367">
        <f t="shared" si="15"/>
        <v>1766.9431498851843</v>
      </c>
      <c r="X115" s="370"/>
      <c r="Y115" s="369"/>
      <c r="Z115" s="371">
        <f t="shared" si="8"/>
        <v>4.7175639999999998E-2</v>
      </c>
      <c r="AA115" s="371">
        <f t="shared" si="9"/>
        <v>3.8434019999999999E-2</v>
      </c>
      <c r="AB115" s="372" t="str">
        <f t="shared" si="10"/>
        <v>N</v>
      </c>
      <c r="AC115" s="337">
        <v>9</v>
      </c>
      <c r="AD115" s="334"/>
      <c r="AE115" s="334"/>
      <c r="AF115" s="334"/>
      <c r="AG115" s="334"/>
      <c r="AH115" s="333"/>
      <c r="AI115" s="334"/>
      <c r="AJ115" s="365"/>
      <c r="AK115" s="366">
        <f t="shared" si="11"/>
        <v>8.5</v>
      </c>
      <c r="AL115" s="367">
        <f t="shared" si="16"/>
        <v>13136.390745501285</v>
      </c>
      <c r="AM115" s="370"/>
      <c r="AN115" s="369"/>
      <c r="AO115" s="371">
        <f t="shared" si="12"/>
        <v>6.6838040000000001E-2</v>
      </c>
      <c r="AP115" s="371">
        <f t="shared" si="13"/>
        <v>5.3386089999999997E-2</v>
      </c>
      <c r="AQ115" s="372" t="str">
        <f t="shared" si="14"/>
        <v>N</v>
      </c>
      <c r="AR115" s="337">
        <v>9</v>
      </c>
      <c r="AS115" s="334"/>
      <c r="AT115" s="334"/>
      <c r="AU115" s="334"/>
      <c r="AV115" s="334"/>
      <c r="AW115" s="321"/>
    </row>
    <row r="116" spans="19:49">
      <c r="S116" s="321"/>
      <c r="T116" s="334"/>
      <c r="U116" s="365"/>
      <c r="V116" s="366">
        <f t="shared" si="7"/>
        <v>9.5</v>
      </c>
      <c r="W116" s="367">
        <f t="shared" si="15"/>
        <v>1688.0528659571701</v>
      </c>
      <c r="X116" s="370"/>
      <c r="Y116" s="369"/>
      <c r="Z116" s="371">
        <f t="shared" si="8"/>
        <v>4.4647890000000003E-2</v>
      </c>
      <c r="AA116" s="371">
        <f t="shared" si="9"/>
        <v>3.5906269999999997E-2</v>
      </c>
      <c r="AB116" s="372" t="str">
        <f t="shared" si="10"/>
        <v>N</v>
      </c>
      <c r="AC116" s="337">
        <v>10</v>
      </c>
      <c r="AD116" s="334"/>
      <c r="AE116" s="334"/>
      <c r="AF116" s="334"/>
      <c r="AG116" s="334"/>
      <c r="AH116" s="333"/>
      <c r="AI116" s="334"/>
      <c r="AJ116" s="365"/>
      <c r="AK116" s="366">
        <f t="shared" si="11"/>
        <v>9.5</v>
      </c>
      <c r="AL116" s="367">
        <f t="shared" si="16"/>
        <v>12313.38795180723</v>
      </c>
      <c r="AM116" s="370"/>
      <c r="AN116" s="369"/>
      <c r="AO116" s="371">
        <f t="shared" si="12"/>
        <v>6.2650600000000001E-2</v>
      </c>
      <c r="AP116" s="371">
        <f t="shared" si="13"/>
        <v>4.9198649999999997E-2</v>
      </c>
      <c r="AQ116" s="372" t="str">
        <f t="shared" si="14"/>
        <v>N</v>
      </c>
      <c r="AR116" s="337">
        <v>10</v>
      </c>
      <c r="AS116" s="334"/>
      <c r="AT116" s="334"/>
      <c r="AU116" s="334"/>
      <c r="AV116" s="334"/>
      <c r="AW116" s="321"/>
    </row>
    <row r="117" spans="19:49">
      <c r="S117" s="321"/>
      <c r="T117" s="334"/>
      <c r="U117" s="365"/>
      <c r="V117" s="366">
        <f t="shared" si="7"/>
        <v>10.5</v>
      </c>
      <c r="W117" s="367">
        <f t="shared" si="15"/>
        <v>1616.5178118140275</v>
      </c>
      <c r="X117" s="370"/>
      <c r="Y117" s="369"/>
      <c r="Z117" s="371">
        <f t="shared" si="8"/>
        <v>4.2377249999999998E-2</v>
      </c>
      <c r="AA117" s="371">
        <f t="shared" si="9"/>
        <v>3.363563E-2</v>
      </c>
      <c r="AB117" s="372" t="str">
        <f t="shared" si="10"/>
        <v>N</v>
      </c>
      <c r="AC117" s="337">
        <v>11</v>
      </c>
      <c r="AD117" s="334"/>
      <c r="AE117" s="334"/>
      <c r="AF117" s="334"/>
      <c r="AG117" s="334"/>
      <c r="AH117" s="333"/>
      <c r="AI117" s="334"/>
      <c r="AJ117" s="365"/>
      <c r="AK117" s="366">
        <f t="shared" si="11"/>
        <v>10.5</v>
      </c>
      <c r="AL117" s="367">
        <f t="shared" si="16"/>
        <v>11587.428571428571</v>
      </c>
      <c r="AM117" s="370"/>
      <c r="AN117" s="369"/>
      <c r="AO117" s="371">
        <f t="shared" si="12"/>
        <v>5.8956910000000001E-2</v>
      </c>
      <c r="AP117" s="371">
        <f t="shared" si="13"/>
        <v>4.5504959999999997E-2</v>
      </c>
      <c r="AQ117" s="372" t="str">
        <f t="shared" si="14"/>
        <v>N</v>
      </c>
      <c r="AR117" s="337">
        <v>11</v>
      </c>
      <c r="AS117" s="334"/>
      <c r="AT117" s="334"/>
      <c r="AU117" s="334"/>
      <c r="AV117" s="334"/>
      <c r="AW117" s="321"/>
    </row>
    <row r="118" spans="19:49" ht="15.05" thickBot="1">
      <c r="S118" s="321"/>
      <c r="T118" s="334"/>
      <c r="U118" s="373">
        <v>1</v>
      </c>
      <c r="V118" s="374">
        <f t="shared" si="7"/>
        <v>11.5</v>
      </c>
      <c r="W118" s="367">
        <f t="shared" si="15"/>
        <v>1551.32943934426</v>
      </c>
      <c r="X118" s="375">
        <f>SUM(W107:W118)</f>
        <v>25091.578417700963</v>
      </c>
      <c r="Y118" s="376"/>
      <c r="Z118" s="371">
        <f t="shared" si="8"/>
        <v>4.032641E-2</v>
      </c>
      <c r="AA118" s="371">
        <f t="shared" si="9"/>
        <v>3.1584790000000001E-2</v>
      </c>
      <c r="AB118" s="372" t="str">
        <f t="shared" si="10"/>
        <v>N</v>
      </c>
      <c r="AC118" s="337">
        <v>12</v>
      </c>
      <c r="AD118" s="334"/>
      <c r="AE118" s="334"/>
      <c r="AF118" s="334"/>
      <c r="AG118" s="334"/>
      <c r="AH118" s="333"/>
      <c r="AI118" s="334"/>
      <c r="AJ118" s="373">
        <v>1</v>
      </c>
      <c r="AK118" s="374">
        <f t="shared" si="11"/>
        <v>11.5</v>
      </c>
      <c r="AL118" s="367">
        <f t="shared" si="16"/>
        <v>10942.304068522482</v>
      </c>
      <c r="AM118" s="375">
        <f>SUM(AL107:AL118)</f>
        <v>206161.37201960411</v>
      </c>
      <c r="AN118" s="376"/>
      <c r="AO118" s="371">
        <f t="shared" si="12"/>
        <v>5.5674510000000003E-2</v>
      </c>
      <c r="AP118" s="371">
        <f t="shared" si="13"/>
        <v>4.2222559999999999E-2</v>
      </c>
      <c r="AQ118" s="372" t="str">
        <f t="shared" si="14"/>
        <v>N</v>
      </c>
      <c r="AR118" s="337">
        <v>12</v>
      </c>
      <c r="AS118" s="334"/>
      <c r="AT118" s="334"/>
      <c r="AU118" s="334"/>
      <c r="AV118" s="334"/>
      <c r="AW118" s="321"/>
    </row>
    <row r="119" spans="19:49">
      <c r="S119" s="321"/>
      <c r="T119" s="334"/>
      <c r="U119" s="365"/>
      <c r="V119" s="366">
        <f t="shared" si="7"/>
        <v>12.5</v>
      </c>
      <c r="W119" s="377">
        <f t="shared" si="15"/>
        <v>1491.65766980065</v>
      </c>
      <c r="X119" s="378"/>
      <c r="Y119" s="369"/>
      <c r="Z119" s="371">
        <f t="shared" si="8"/>
        <v>3.846492E-2</v>
      </c>
      <c r="AA119" s="371">
        <f t="shared" si="9"/>
        <v>2.9723300000000001E-2</v>
      </c>
      <c r="AB119" s="372" t="str">
        <f t="shared" si="10"/>
        <v>N</v>
      </c>
      <c r="AC119" s="337">
        <v>13</v>
      </c>
      <c r="AD119" s="334"/>
      <c r="AE119" s="334"/>
      <c r="AF119" s="334"/>
      <c r="AG119" s="334"/>
      <c r="AH119" s="333"/>
      <c r="AI119" s="334"/>
      <c r="AJ119" s="365"/>
      <c r="AK119" s="366">
        <f t="shared" si="11"/>
        <v>12.5</v>
      </c>
      <c r="AL119" s="377">
        <f t="shared" si="16"/>
        <v>10365.225152129817</v>
      </c>
      <c r="AM119" s="378"/>
      <c r="AN119" s="369"/>
      <c r="AO119" s="371">
        <f t="shared" si="12"/>
        <v>5.273833E-2</v>
      </c>
      <c r="AP119" s="371">
        <f t="shared" si="13"/>
        <v>3.9286380000000003E-2</v>
      </c>
      <c r="AQ119" s="372" t="str">
        <f t="shared" si="14"/>
        <v>N</v>
      </c>
      <c r="AR119" s="337">
        <v>13</v>
      </c>
      <c r="AS119" s="334"/>
      <c r="AT119" s="334"/>
      <c r="AU119" s="334"/>
      <c r="AV119" s="334"/>
      <c r="AW119" s="321"/>
    </row>
    <row r="120" spans="19:49">
      <c r="S120" s="321"/>
      <c r="T120" s="334"/>
      <c r="U120" s="365"/>
      <c r="V120" s="366">
        <f t="shared" si="7"/>
        <v>13.5</v>
      </c>
      <c r="W120" s="367">
        <f t="shared" si="15"/>
        <v>1436.8128298913728</v>
      </c>
      <c r="X120" s="378"/>
      <c r="Y120" s="369"/>
      <c r="Z120" s="371">
        <f t="shared" si="8"/>
        <v>3.6767710000000002E-2</v>
      </c>
      <c r="AA120" s="371">
        <f t="shared" si="9"/>
        <v>2.802609E-2</v>
      </c>
      <c r="AB120" s="372" t="str">
        <f t="shared" si="10"/>
        <v>N</v>
      </c>
      <c r="AC120" s="337">
        <v>14</v>
      </c>
      <c r="AD120" s="334"/>
      <c r="AE120" s="334"/>
      <c r="AF120" s="334"/>
      <c r="AG120" s="334"/>
      <c r="AH120" s="333"/>
      <c r="AI120" s="334"/>
      <c r="AJ120" s="365"/>
      <c r="AK120" s="366">
        <f t="shared" si="11"/>
        <v>13.5</v>
      </c>
      <c r="AL120" s="367">
        <f t="shared" si="16"/>
        <v>9845.9653179190755</v>
      </c>
      <c r="AM120" s="378"/>
      <c r="AN120" s="369"/>
      <c r="AO120" s="371">
        <f t="shared" si="12"/>
        <v>5.0096330000000001E-2</v>
      </c>
      <c r="AP120" s="371">
        <f t="shared" si="13"/>
        <v>3.6644379999999997E-2</v>
      </c>
      <c r="AQ120" s="372" t="str">
        <f t="shared" si="14"/>
        <v>N</v>
      </c>
      <c r="AR120" s="337">
        <v>14</v>
      </c>
      <c r="AS120" s="334"/>
      <c r="AT120" s="334"/>
      <c r="AU120" s="334"/>
      <c r="AV120" s="334"/>
      <c r="AW120" s="321"/>
    </row>
    <row r="121" spans="19:49">
      <c r="S121" s="321"/>
      <c r="T121" s="334"/>
      <c r="U121" s="365"/>
      <c r="V121" s="366">
        <f t="shared" si="7"/>
        <v>14.5</v>
      </c>
      <c r="W121" s="367">
        <f t="shared" si="15"/>
        <v>1386.2169719269391</v>
      </c>
      <c r="X121" s="378"/>
      <c r="Y121" s="369"/>
      <c r="Z121" s="371">
        <f t="shared" si="8"/>
        <v>3.5213950000000001E-2</v>
      </c>
      <c r="AA121" s="371">
        <f t="shared" si="9"/>
        <v>2.6472329999999999E-2</v>
      </c>
      <c r="AB121" s="372" t="str">
        <f t="shared" si="10"/>
        <v>N</v>
      </c>
      <c r="AC121" s="337">
        <v>15</v>
      </c>
      <c r="AD121" s="334"/>
      <c r="AE121" s="334"/>
      <c r="AF121" s="334"/>
      <c r="AG121" s="334"/>
      <c r="AH121" s="333"/>
      <c r="AI121" s="334"/>
      <c r="AJ121" s="365"/>
      <c r="AK121" s="366">
        <f t="shared" si="11"/>
        <v>14.5</v>
      </c>
      <c r="AL121" s="367">
        <f t="shared" si="16"/>
        <v>9376.2495412844037</v>
      </c>
      <c r="AM121" s="378"/>
      <c r="AN121" s="369"/>
      <c r="AO121" s="371">
        <f t="shared" si="12"/>
        <v>4.7706419999999999E-2</v>
      </c>
      <c r="AP121" s="371">
        <f t="shared" si="13"/>
        <v>3.4254470000000002E-2</v>
      </c>
      <c r="AQ121" s="372" t="str">
        <f t="shared" si="14"/>
        <v>N</v>
      </c>
      <c r="AR121" s="337">
        <v>15</v>
      </c>
      <c r="AS121" s="334"/>
      <c r="AT121" s="334"/>
      <c r="AU121" s="334"/>
      <c r="AV121" s="334"/>
      <c r="AW121" s="321"/>
    </row>
    <row r="122" spans="19:49">
      <c r="S122" s="321"/>
      <c r="T122" s="334"/>
      <c r="U122" s="365"/>
      <c r="V122" s="366">
        <f t="shared" si="7"/>
        <v>15.5</v>
      </c>
      <c r="W122" s="367">
        <f t="shared" si="15"/>
        <v>1339.381977766946</v>
      </c>
      <c r="X122" s="378"/>
      <c r="Y122" s="369"/>
      <c r="Z122" s="371">
        <f t="shared" si="8"/>
        <v>3.3786190000000001E-2</v>
      </c>
      <c r="AA122" s="371">
        <f t="shared" si="9"/>
        <v>2.5044569999999999E-2</v>
      </c>
      <c r="AB122" s="372" t="str">
        <f t="shared" si="10"/>
        <v>N</v>
      </c>
      <c r="AC122" s="337">
        <v>16</v>
      </c>
      <c r="AD122" s="334"/>
      <c r="AE122" s="334"/>
      <c r="AF122" s="334"/>
      <c r="AG122" s="334"/>
      <c r="AH122" s="333"/>
      <c r="AI122" s="334"/>
      <c r="AJ122" s="365"/>
      <c r="AK122" s="366">
        <f t="shared" si="11"/>
        <v>15.5</v>
      </c>
      <c r="AL122" s="367">
        <f t="shared" si="16"/>
        <v>8949.3099824868641</v>
      </c>
      <c r="AM122" s="378"/>
      <c r="AN122" s="369"/>
      <c r="AO122" s="371">
        <f t="shared" si="12"/>
        <v>4.5534150000000002E-2</v>
      </c>
      <c r="AP122" s="371">
        <f t="shared" si="13"/>
        <v>3.2082199999999998E-2</v>
      </c>
      <c r="AQ122" s="372" t="str">
        <f t="shared" si="14"/>
        <v>N</v>
      </c>
      <c r="AR122" s="337">
        <v>16</v>
      </c>
      <c r="AS122" s="334"/>
      <c r="AT122" s="334"/>
      <c r="AU122" s="334"/>
      <c r="AV122" s="334"/>
      <c r="AW122" s="321"/>
    </row>
    <row r="123" spans="19:49">
      <c r="S123" s="321"/>
      <c r="T123" s="334"/>
      <c r="U123" s="365"/>
      <c r="V123" s="366">
        <f t="shared" si="7"/>
        <v>16.5</v>
      </c>
      <c r="W123" s="367">
        <f t="shared" si="15"/>
        <v>1295.8926400933883</v>
      </c>
      <c r="X123" s="378"/>
      <c r="Y123" s="369"/>
      <c r="Z123" s="371">
        <f t="shared" si="8"/>
        <v>3.2469699999999997E-2</v>
      </c>
      <c r="AA123" s="371">
        <f t="shared" si="9"/>
        <v>2.3728079999999999E-2</v>
      </c>
      <c r="AB123" s="372" t="str">
        <f t="shared" si="10"/>
        <v>N</v>
      </c>
      <c r="AC123" s="337">
        <v>17</v>
      </c>
      <c r="AD123" s="334"/>
      <c r="AE123" s="334"/>
      <c r="AF123" s="334"/>
      <c r="AG123" s="334"/>
      <c r="AH123" s="333"/>
      <c r="AI123" s="334"/>
      <c r="AJ123" s="365"/>
      <c r="AK123" s="366">
        <f t="shared" si="11"/>
        <v>16.5</v>
      </c>
      <c r="AL123" s="367">
        <f t="shared" si="16"/>
        <v>8559.5577889447231</v>
      </c>
      <c r="AM123" s="378"/>
      <c r="AN123" s="369"/>
      <c r="AO123" s="371">
        <f t="shared" si="12"/>
        <v>4.3551079999999999E-2</v>
      </c>
      <c r="AP123" s="371">
        <f t="shared" si="13"/>
        <v>3.0099130000000002E-2</v>
      </c>
      <c r="AQ123" s="372" t="str">
        <f t="shared" si="14"/>
        <v>N</v>
      </c>
      <c r="AR123" s="337">
        <v>17</v>
      </c>
      <c r="AS123" s="334"/>
      <c r="AT123" s="334"/>
      <c r="AU123" s="334"/>
      <c r="AV123" s="334"/>
      <c r="AW123" s="321"/>
    </row>
    <row r="124" spans="19:49">
      <c r="S124" s="321"/>
      <c r="T124" s="334"/>
      <c r="U124" s="365"/>
      <c r="V124" s="366">
        <f t="shared" si="7"/>
        <v>17.5</v>
      </c>
      <c r="W124" s="367">
        <f t="shared" si="15"/>
        <v>1255.3934453112911</v>
      </c>
      <c r="X124" s="378"/>
      <c r="Y124" s="369"/>
      <c r="Z124" s="371">
        <f t="shared" si="8"/>
        <v>3.1251960000000002E-2</v>
      </c>
      <c r="AA124" s="371">
        <f t="shared" si="9"/>
        <v>2.251034E-2</v>
      </c>
      <c r="AB124" s="372" t="str">
        <f t="shared" si="10"/>
        <v>N</v>
      </c>
      <c r="AC124" s="337">
        <v>18</v>
      </c>
      <c r="AD124" s="334"/>
      <c r="AE124" s="334"/>
      <c r="AF124" s="334"/>
      <c r="AG124" s="334"/>
      <c r="AH124" s="333"/>
      <c r="AI124" s="334"/>
      <c r="AJ124" s="365"/>
      <c r="AK124" s="366">
        <f t="shared" si="11"/>
        <v>17.5</v>
      </c>
      <c r="AL124" s="367">
        <f t="shared" si="16"/>
        <v>8202.3370786516844</v>
      </c>
      <c r="AM124" s="378"/>
      <c r="AN124" s="369"/>
      <c r="AO124" s="371">
        <f t="shared" si="12"/>
        <v>4.173354E-2</v>
      </c>
      <c r="AP124" s="371">
        <f t="shared" si="13"/>
        <v>2.8281589999999999E-2</v>
      </c>
      <c r="AQ124" s="372" t="str">
        <f t="shared" si="14"/>
        <v>N</v>
      </c>
      <c r="AR124" s="337">
        <v>18</v>
      </c>
      <c r="AS124" s="334"/>
      <c r="AT124" s="334"/>
      <c r="AU124" s="334"/>
      <c r="AV124" s="334"/>
      <c r="AW124" s="321"/>
    </row>
    <row r="125" spans="19:49">
      <c r="S125" s="321"/>
      <c r="T125" s="334"/>
      <c r="U125" s="365"/>
      <c r="V125" s="366">
        <f t="shared" si="7"/>
        <v>18.5</v>
      </c>
      <c r="W125" s="367">
        <f t="shared" si="15"/>
        <v>1217.5781436466391</v>
      </c>
      <c r="X125" s="378"/>
      <c r="Y125" s="369"/>
      <c r="Z125" s="371">
        <f t="shared" si="8"/>
        <v>3.012227E-2</v>
      </c>
      <c r="AA125" s="371">
        <f t="shared" si="9"/>
        <v>2.1380650000000001E-2</v>
      </c>
      <c r="AB125" s="372" t="str">
        <f t="shared" si="10"/>
        <v>N</v>
      </c>
      <c r="AC125" s="337">
        <v>19</v>
      </c>
      <c r="AD125" s="334"/>
      <c r="AE125" s="334"/>
      <c r="AF125" s="334"/>
      <c r="AG125" s="334"/>
      <c r="AH125" s="333"/>
      <c r="AI125" s="334"/>
      <c r="AJ125" s="365"/>
      <c r="AK125" s="366">
        <f t="shared" si="11"/>
        <v>18.5</v>
      </c>
      <c r="AL125" s="367">
        <f t="shared" si="16"/>
        <v>7873.7380585516175</v>
      </c>
      <c r="AM125" s="378"/>
      <c r="AN125" s="369"/>
      <c r="AO125" s="371">
        <f t="shared" si="12"/>
        <v>4.0061630000000001E-2</v>
      </c>
      <c r="AP125" s="371">
        <f t="shared" si="13"/>
        <v>2.660968E-2</v>
      </c>
      <c r="AQ125" s="372" t="str">
        <f t="shared" si="14"/>
        <v>N</v>
      </c>
      <c r="AR125" s="337">
        <v>19</v>
      </c>
      <c r="AS125" s="334"/>
      <c r="AT125" s="334"/>
      <c r="AU125" s="334"/>
      <c r="AV125" s="334"/>
      <c r="AW125" s="321"/>
    </row>
    <row r="126" spans="19:49">
      <c r="S126" s="321"/>
      <c r="T126" s="334"/>
      <c r="U126" s="365"/>
      <c r="V126" s="366">
        <f t="shared" si="7"/>
        <v>19.5</v>
      </c>
      <c r="W126" s="367">
        <f t="shared" si="15"/>
        <v>1182.1814419346547</v>
      </c>
      <c r="X126" s="378"/>
      <c r="Y126" s="369"/>
      <c r="Z126" s="371">
        <f t="shared" si="8"/>
        <v>2.9071400000000001E-2</v>
      </c>
      <c r="AA126" s="371">
        <f t="shared" si="9"/>
        <v>2.0329779999999999E-2</v>
      </c>
      <c r="AB126" s="372" t="str">
        <f t="shared" si="10"/>
        <v>N</v>
      </c>
      <c r="AC126" s="337">
        <v>20</v>
      </c>
      <c r="AD126" s="334"/>
      <c r="AE126" s="334"/>
      <c r="AF126" s="334"/>
      <c r="AG126" s="334"/>
      <c r="AH126" s="333"/>
      <c r="AI126" s="334"/>
      <c r="AJ126" s="365"/>
      <c r="AK126" s="366">
        <f t="shared" si="11"/>
        <v>19.5</v>
      </c>
      <c r="AL126" s="367">
        <f t="shared" si="16"/>
        <v>7570.4533333333347</v>
      </c>
      <c r="AM126" s="378"/>
      <c r="AN126" s="369"/>
      <c r="AO126" s="371">
        <f t="shared" si="12"/>
        <v>3.8518509999999999E-2</v>
      </c>
      <c r="AP126" s="371">
        <f t="shared" si="13"/>
        <v>2.5066560000000002E-2</v>
      </c>
      <c r="AQ126" s="372" t="str">
        <f t="shared" si="14"/>
        <v>N</v>
      </c>
      <c r="AR126" s="337">
        <v>20</v>
      </c>
      <c r="AS126" s="334"/>
      <c r="AT126" s="334"/>
      <c r="AU126" s="334"/>
      <c r="AV126" s="334"/>
      <c r="AW126" s="321"/>
    </row>
    <row r="127" spans="19:49">
      <c r="S127" s="321"/>
      <c r="T127" s="334"/>
      <c r="U127" s="365"/>
      <c r="V127" s="366">
        <f t="shared" si="7"/>
        <v>20.5</v>
      </c>
      <c r="W127" s="367">
        <f t="shared" si="15"/>
        <v>1148.9723300837595</v>
      </c>
      <c r="X127" s="378"/>
      <c r="Y127" s="369"/>
      <c r="Z127" s="371">
        <f t="shared" si="8"/>
        <v>2.8091379999999999E-2</v>
      </c>
      <c r="AA127" s="371">
        <f t="shared" si="9"/>
        <v>1.9349760000000001E-2</v>
      </c>
      <c r="AB127" s="372" t="str">
        <f t="shared" si="10"/>
        <v>N</v>
      </c>
      <c r="AC127" s="337">
        <v>21</v>
      </c>
      <c r="AD127" s="334"/>
      <c r="AE127" s="334"/>
      <c r="AF127" s="334"/>
      <c r="AG127" s="334"/>
      <c r="AH127" s="333"/>
      <c r="AI127" s="334"/>
      <c r="AJ127" s="365"/>
      <c r="AK127" s="366">
        <f t="shared" si="11"/>
        <v>20.5</v>
      </c>
      <c r="AL127" s="367">
        <f t="shared" si="16"/>
        <v>7289.666191155492</v>
      </c>
      <c r="AM127" s="378"/>
      <c r="AN127" s="369"/>
      <c r="AO127" s="371">
        <f t="shared" si="12"/>
        <v>3.7089869999999997E-2</v>
      </c>
      <c r="AP127" s="371">
        <f t="shared" si="13"/>
        <v>2.363792E-2</v>
      </c>
      <c r="AQ127" s="372" t="str">
        <f t="shared" si="14"/>
        <v>N</v>
      </c>
      <c r="AR127" s="337">
        <v>21</v>
      </c>
      <c r="AS127" s="334"/>
      <c r="AT127" s="334"/>
      <c r="AU127" s="334"/>
      <c r="AV127" s="334"/>
      <c r="AW127" s="321"/>
    </row>
    <row r="128" spans="19:49">
      <c r="S128" s="321"/>
      <c r="T128" s="334"/>
      <c r="U128" s="365"/>
      <c r="V128" s="366">
        <f t="shared" si="7"/>
        <v>21.5</v>
      </c>
      <c r="W128" s="367">
        <f t="shared" si="15"/>
        <v>1117.7486771335971</v>
      </c>
      <c r="X128" s="378"/>
      <c r="Y128" s="369"/>
      <c r="Z128" s="371">
        <f t="shared" si="8"/>
        <v>2.717528E-2</v>
      </c>
      <c r="AA128" s="371">
        <f t="shared" si="9"/>
        <v>1.8433660000000001E-2</v>
      </c>
      <c r="AB128" s="372" t="str">
        <f t="shared" si="10"/>
        <v>N</v>
      </c>
      <c r="AC128" s="337">
        <v>22</v>
      </c>
      <c r="AD128" s="334"/>
      <c r="AE128" s="334"/>
      <c r="AF128" s="334"/>
      <c r="AG128" s="334"/>
      <c r="AH128" s="333"/>
      <c r="AI128" s="334"/>
      <c r="AJ128" s="365"/>
      <c r="AK128" s="366">
        <f t="shared" si="11"/>
        <v>21.5</v>
      </c>
      <c r="AL128" s="367">
        <f t="shared" si="16"/>
        <v>7028.9628610729023</v>
      </c>
      <c r="AM128" s="378"/>
      <c r="AN128" s="369"/>
      <c r="AO128" s="371">
        <f t="shared" si="12"/>
        <v>3.5763410000000002E-2</v>
      </c>
      <c r="AP128" s="371">
        <f t="shared" si="13"/>
        <v>2.2311460000000002E-2</v>
      </c>
      <c r="AQ128" s="372" t="str">
        <f t="shared" si="14"/>
        <v>N</v>
      </c>
      <c r="AR128" s="337">
        <v>22</v>
      </c>
      <c r="AS128" s="334"/>
      <c r="AT128" s="334"/>
      <c r="AU128" s="334"/>
      <c r="AV128" s="334"/>
      <c r="AW128" s="321"/>
    </row>
    <row r="129" spans="19:49">
      <c r="S129" s="321"/>
      <c r="T129" s="334"/>
      <c r="U129" s="365"/>
      <c r="V129" s="366">
        <f t="shared" si="7"/>
        <v>22.5</v>
      </c>
      <c r="W129" s="367">
        <f t="shared" si="15"/>
        <v>1088.3328229024789</v>
      </c>
      <c r="X129" s="378"/>
      <c r="Y129" s="379"/>
      <c r="Z129" s="371">
        <f t="shared" si="8"/>
        <v>2.6317050000000002E-2</v>
      </c>
      <c r="AA129" s="371">
        <f t="shared" si="9"/>
        <v>1.757543E-2</v>
      </c>
      <c r="AB129" s="372" t="str">
        <f t="shared" si="10"/>
        <v>N</v>
      </c>
      <c r="AC129" s="337">
        <v>23</v>
      </c>
      <c r="AD129" s="334"/>
      <c r="AE129" s="334"/>
      <c r="AF129" s="334"/>
      <c r="AG129" s="334"/>
      <c r="AH129" s="333"/>
      <c r="AI129" s="334"/>
      <c r="AJ129" s="365"/>
      <c r="AK129" s="366">
        <f t="shared" si="11"/>
        <v>22.5</v>
      </c>
      <c r="AL129" s="367">
        <f t="shared" si="16"/>
        <v>6786.2629482071707</v>
      </c>
      <c r="AM129" s="378"/>
      <c r="AN129" s="379"/>
      <c r="AO129" s="371">
        <f t="shared" si="12"/>
        <v>3.4528549999999998E-2</v>
      </c>
      <c r="AP129" s="371">
        <f t="shared" si="13"/>
        <v>2.1076600000000001E-2</v>
      </c>
      <c r="AQ129" s="372" t="str">
        <f t="shared" si="14"/>
        <v>N</v>
      </c>
      <c r="AR129" s="337">
        <v>23</v>
      </c>
      <c r="AS129" s="334"/>
      <c r="AT129" s="334"/>
      <c r="AU129" s="334"/>
      <c r="AV129" s="334"/>
      <c r="AW129" s="321"/>
    </row>
    <row r="130" spans="19:49" ht="15.05" thickBot="1">
      <c r="S130" s="321"/>
      <c r="T130" s="334"/>
      <c r="U130" s="373">
        <f>1+U118</f>
        <v>2</v>
      </c>
      <c r="V130" s="374">
        <f t="shared" si="7"/>
        <v>23.5</v>
      </c>
      <c r="W130" s="367">
        <f t="shared" si="15"/>
        <v>1060.5679569348486</v>
      </c>
      <c r="X130" s="375">
        <f>SUM(W119:W130)</f>
        <v>15020.736907426564</v>
      </c>
      <c r="Y130" s="376">
        <f>-(X130/X118-1)</f>
        <v>0.40136341136553921</v>
      </c>
      <c r="Z130" s="371">
        <f t="shared" si="8"/>
        <v>2.5511369999999998E-2</v>
      </c>
      <c r="AA130" s="371">
        <f t="shared" si="9"/>
        <v>1.676975E-2</v>
      </c>
      <c r="AB130" s="372" t="str">
        <f t="shared" si="10"/>
        <v>N</v>
      </c>
      <c r="AC130" s="337">
        <v>24</v>
      </c>
      <c r="AD130" s="334"/>
      <c r="AE130" s="334"/>
      <c r="AF130" s="334"/>
      <c r="AG130" s="334"/>
      <c r="AH130" s="333"/>
      <c r="AI130" s="334"/>
      <c r="AJ130" s="373">
        <f>1+AJ118</f>
        <v>2</v>
      </c>
      <c r="AK130" s="374">
        <f t="shared" si="11"/>
        <v>23.5</v>
      </c>
      <c r="AL130" s="367">
        <f t="shared" si="16"/>
        <v>6559.7637997432603</v>
      </c>
      <c r="AM130" s="375">
        <f>SUM(AL119:AL130)</f>
        <v>98407.492053480339</v>
      </c>
      <c r="AN130" s="376">
        <f>-(AM130/AM118-1)</f>
        <v>0.52266765063960352</v>
      </c>
      <c r="AO130" s="371">
        <f t="shared" si="12"/>
        <v>3.3376120000000002E-2</v>
      </c>
      <c r="AP130" s="371">
        <f t="shared" si="13"/>
        <v>1.9924170000000001E-2</v>
      </c>
      <c r="AQ130" s="372" t="str">
        <f t="shared" si="14"/>
        <v>N</v>
      </c>
      <c r="AR130" s="337">
        <v>24</v>
      </c>
      <c r="AS130" s="334"/>
      <c r="AT130" s="334"/>
      <c r="AU130" s="334"/>
      <c r="AV130" s="334"/>
      <c r="AW130" s="321"/>
    </row>
    <row r="131" spans="19:49">
      <c r="S131" s="321"/>
      <c r="T131" s="334"/>
      <c r="U131" s="365"/>
      <c r="V131" s="366">
        <f t="shared" si="7"/>
        <v>24.5</v>
      </c>
      <c r="W131" s="377">
        <f t="shared" si="15"/>
        <v>1034.3151249297514</v>
      </c>
      <c r="X131" s="378"/>
      <c r="Y131" s="369"/>
      <c r="Z131" s="371">
        <f t="shared" si="8"/>
        <v>2.4753549999999999E-2</v>
      </c>
      <c r="AA131" s="371">
        <f t="shared" si="9"/>
        <v>1.6011930000000001E-2</v>
      </c>
      <c r="AB131" s="372" t="str">
        <f t="shared" si="10"/>
        <v>N</v>
      </c>
      <c r="AC131" s="337">
        <v>25</v>
      </c>
      <c r="AD131" s="334"/>
      <c r="AE131" s="334"/>
      <c r="AF131" s="334"/>
      <c r="AG131" s="334"/>
      <c r="AH131" s="333"/>
      <c r="AI131" s="334"/>
      <c r="AJ131" s="365"/>
      <c r="AK131" s="366">
        <f t="shared" si="11"/>
        <v>24.5</v>
      </c>
      <c r="AL131" s="377">
        <f t="shared" si="16"/>
        <v>6347.8956521739137</v>
      </c>
      <c r="AM131" s="378"/>
      <c r="AN131" s="369"/>
      <c r="AO131" s="371">
        <f t="shared" si="12"/>
        <v>3.2298130000000001E-2</v>
      </c>
      <c r="AP131" s="371">
        <f t="shared" si="13"/>
        <v>1.8846180000000001E-2</v>
      </c>
      <c r="AQ131" s="372" t="str">
        <f t="shared" si="14"/>
        <v>N</v>
      </c>
      <c r="AR131" s="337">
        <v>25</v>
      </c>
      <c r="AS131" s="334"/>
      <c r="AT131" s="334"/>
      <c r="AU131" s="334"/>
      <c r="AV131" s="334"/>
      <c r="AW131" s="321"/>
    </row>
    <row r="132" spans="19:49">
      <c r="S132" s="321"/>
      <c r="T132" s="334"/>
      <c r="U132" s="365"/>
      <c r="V132" s="366">
        <f t="shared" si="7"/>
        <v>25.5</v>
      </c>
      <c r="W132" s="367">
        <f t="shared" si="15"/>
        <v>1009.4507389491367</v>
      </c>
      <c r="X132" s="378"/>
      <c r="Y132" s="369"/>
      <c r="Z132" s="371">
        <f t="shared" si="8"/>
        <v>2.4039459999999999E-2</v>
      </c>
      <c r="AA132" s="371">
        <f t="shared" si="9"/>
        <v>1.529784E-2</v>
      </c>
      <c r="AB132" s="372" t="str">
        <f t="shared" si="10"/>
        <v>N</v>
      </c>
      <c r="AC132" s="337">
        <v>26</v>
      </c>
      <c r="AD132" s="334"/>
      <c r="AE132" s="334"/>
      <c r="AF132" s="334"/>
      <c r="AG132" s="334"/>
      <c r="AH132" s="333"/>
      <c r="AI132" s="334"/>
      <c r="AJ132" s="365"/>
      <c r="AK132" s="366">
        <f t="shared" si="11"/>
        <v>25.5</v>
      </c>
      <c r="AL132" s="367">
        <f t="shared" si="16"/>
        <v>6149.2851985559573</v>
      </c>
      <c r="AM132" s="378"/>
      <c r="AN132" s="369"/>
      <c r="AO132" s="371">
        <f t="shared" si="12"/>
        <v>3.1287599999999999E-2</v>
      </c>
      <c r="AP132" s="371">
        <f t="shared" si="13"/>
        <v>1.7835650000000002E-2</v>
      </c>
      <c r="AQ132" s="372" t="str">
        <f t="shared" si="14"/>
        <v>N</v>
      </c>
      <c r="AR132" s="337">
        <v>26</v>
      </c>
      <c r="AS132" s="334"/>
      <c r="AT132" s="334"/>
      <c r="AU132" s="334"/>
      <c r="AV132" s="334"/>
      <c r="AW132" s="321"/>
    </row>
    <row r="133" spans="19:49">
      <c r="S133" s="321"/>
      <c r="T133" s="334"/>
      <c r="U133" s="365"/>
      <c r="V133" s="366">
        <f t="shared" si="7"/>
        <v>26.5</v>
      </c>
      <c r="W133" s="367">
        <f t="shared" si="15"/>
        <v>985.86449487635753</v>
      </c>
      <c r="X133" s="378"/>
      <c r="Y133" s="369"/>
      <c r="Z133" s="371">
        <f t="shared" si="8"/>
        <v>2.3365420000000001E-2</v>
      </c>
      <c r="AA133" s="371">
        <f t="shared" si="9"/>
        <v>1.4623799999999999E-2</v>
      </c>
      <c r="AB133" s="372" t="str">
        <f t="shared" si="10"/>
        <v>N</v>
      </c>
      <c r="AC133" s="337">
        <v>27</v>
      </c>
      <c r="AD133" s="334"/>
      <c r="AE133" s="334"/>
      <c r="AF133" s="334"/>
      <c r="AG133" s="334"/>
      <c r="AH133" s="333"/>
      <c r="AI133" s="334"/>
      <c r="AJ133" s="365"/>
      <c r="AK133" s="366">
        <f t="shared" si="11"/>
        <v>26.5</v>
      </c>
      <c r="AL133" s="367">
        <f t="shared" si="16"/>
        <v>5962.7257876312715</v>
      </c>
      <c r="AM133" s="378"/>
      <c r="AN133" s="369"/>
      <c r="AO133" s="371">
        <f t="shared" si="12"/>
        <v>3.0338380000000002E-2</v>
      </c>
      <c r="AP133" s="371">
        <f t="shared" si="13"/>
        <v>1.6886430000000001E-2</v>
      </c>
      <c r="AQ133" s="372" t="str">
        <f t="shared" si="14"/>
        <v>N</v>
      </c>
      <c r="AR133" s="337">
        <v>27</v>
      </c>
      <c r="AS133" s="334"/>
      <c r="AT133" s="334"/>
      <c r="AU133" s="334"/>
      <c r="AV133" s="334"/>
      <c r="AW133" s="321"/>
    </row>
    <row r="134" spans="19:49">
      <c r="S134" s="321"/>
      <c r="T134" s="334"/>
      <c r="U134" s="365"/>
      <c r="V134" s="366">
        <f t="shared" si="7"/>
        <v>27.5</v>
      </c>
      <c r="W134" s="367">
        <f t="shared" si="15"/>
        <v>963.45762121996347</v>
      </c>
      <c r="X134" s="378"/>
      <c r="Y134" s="369"/>
      <c r="Z134" s="371">
        <f t="shared" si="8"/>
        <v>2.2728140000000001E-2</v>
      </c>
      <c r="AA134" s="371">
        <f t="shared" si="9"/>
        <v>1.3986520000000001E-2</v>
      </c>
      <c r="AB134" s="372" t="str">
        <f t="shared" si="10"/>
        <v>N</v>
      </c>
      <c r="AC134" s="337">
        <v>28</v>
      </c>
      <c r="AD134" s="334"/>
      <c r="AE134" s="334"/>
      <c r="AF134" s="334"/>
      <c r="AG134" s="334"/>
      <c r="AH134" s="333"/>
      <c r="AI134" s="334"/>
      <c r="AJ134" s="365"/>
      <c r="AK134" s="366">
        <f t="shared" si="11"/>
        <v>27.5</v>
      </c>
      <c r="AL134" s="367">
        <f t="shared" si="16"/>
        <v>5787.1528878822201</v>
      </c>
      <c r="AM134" s="378"/>
      <c r="AN134" s="369"/>
      <c r="AO134" s="371">
        <f t="shared" si="12"/>
        <v>2.944507E-2</v>
      </c>
      <c r="AP134" s="371">
        <f t="shared" si="13"/>
        <v>1.599312E-2</v>
      </c>
      <c r="AQ134" s="372" t="str">
        <f t="shared" si="14"/>
        <v>N</v>
      </c>
      <c r="AR134" s="337">
        <v>28</v>
      </c>
      <c r="AS134" s="334"/>
      <c r="AT134" s="334"/>
      <c r="AU134" s="334"/>
      <c r="AV134" s="334"/>
      <c r="AW134" s="321"/>
    </row>
    <row r="135" spans="19:49">
      <c r="S135" s="321"/>
      <c r="T135" s="334"/>
      <c r="U135" s="365"/>
      <c r="V135" s="366">
        <f t="shared" si="7"/>
        <v>28.5</v>
      </c>
      <c r="W135" s="367">
        <f t="shared" si="15"/>
        <v>942.14139914526743</v>
      </c>
      <c r="X135" s="378"/>
      <c r="Y135" s="369"/>
      <c r="Z135" s="371">
        <f t="shared" si="8"/>
        <v>2.2124709999999999E-2</v>
      </c>
      <c r="AA135" s="371">
        <f t="shared" si="9"/>
        <v>1.338309E-2</v>
      </c>
      <c r="AB135" s="372" t="str">
        <f t="shared" si="10"/>
        <v>N</v>
      </c>
      <c r="AC135" s="337">
        <v>29</v>
      </c>
      <c r="AD135" s="334"/>
      <c r="AE135" s="334"/>
      <c r="AF135" s="334"/>
      <c r="AG135" s="334"/>
      <c r="AH135" s="333"/>
      <c r="AI135" s="334"/>
      <c r="AJ135" s="365"/>
      <c r="AK135" s="366">
        <f t="shared" si="11"/>
        <v>28.5</v>
      </c>
      <c r="AL135" s="367">
        <f t="shared" si="16"/>
        <v>5621.6237623762381</v>
      </c>
      <c r="AM135" s="378"/>
      <c r="AN135" s="369"/>
      <c r="AO135" s="371">
        <f t="shared" si="12"/>
        <v>2.8602860000000001E-2</v>
      </c>
      <c r="AP135" s="371">
        <f t="shared" si="13"/>
        <v>1.515091E-2</v>
      </c>
      <c r="AQ135" s="372" t="str">
        <f t="shared" si="14"/>
        <v>N</v>
      </c>
      <c r="AR135" s="337">
        <v>29</v>
      </c>
      <c r="AS135" s="334"/>
      <c r="AT135" s="334"/>
      <c r="AU135" s="334"/>
      <c r="AV135" s="334"/>
      <c r="AW135" s="321"/>
    </row>
    <row r="136" spans="19:49">
      <c r="S136" s="321"/>
      <c r="T136" s="334"/>
      <c r="U136" s="365"/>
      <c r="V136" s="366">
        <f t="shared" si="7"/>
        <v>29.5</v>
      </c>
      <c r="W136" s="367">
        <f t="shared" si="15"/>
        <v>921.83590579646523</v>
      </c>
      <c r="X136" s="378"/>
      <c r="Y136" s="369"/>
      <c r="Z136" s="371">
        <f t="shared" si="8"/>
        <v>2.1552490000000001E-2</v>
      </c>
      <c r="AA136" s="371">
        <f t="shared" si="9"/>
        <v>1.281087E-2</v>
      </c>
      <c r="AB136" s="372" t="str">
        <f t="shared" si="10"/>
        <v>N</v>
      </c>
      <c r="AC136" s="337">
        <v>30</v>
      </c>
      <c r="AD136" s="334"/>
      <c r="AE136" s="334"/>
      <c r="AF136" s="334"/>
      <c r="AG136" s="334"/>
      <c r="AH136" s="333"/>
      <c r="AI136" s="334"/>
      <c r="AJ136" s="365"/>
      <c r="AK136" s="366">
        <f t="shared" si="11"/>
        <v>29.5</v>
      </c>
      <c r="AL136" s="367">
        <f t="shared" si="16"/>
        <v>5465.300534759358</v>
      </c>
      <c r="AM136" s="378"/>
      <c r="AN136" s="369"/>
      <c r="AO136" s="371">
        <f t="shared" si="12"/>
        <v>2.7807479999999999E-2</v>
      </c>
      <c r="AP136" s="371">
        <f t="shared" si="13"/>
        <v>1.435553E-2</v>
      </c>
      <c r="AQ136" s="372" t="str">
        <f t="shared" si="14"/>
        <v>N</v>
      </c>
      <c r="AR136" s="337">
        <v>30</v>
      </c>
      <c r="AS136" s="334"/>
      <c r="AT136" s="334"/>
      <c r="AU136" s="334"/>
      <c r="AV136" s="334"/>
      <c r="AW136" s="321"/>
    </row>
    <row r="137" spans="19:49">
      <c r="S137" s="321"/>
      <c r="T137" s="334"/>
      <c r="U137" s="365"/>
      <c r="V137" s="366">
        <f t="shared" si="7"/>
        <v>30.5</v>
      </c>
      <c r="W137" s="367">
        <f t="shared" si="15"/>
        <v>902.46894243968973</v>
      </c>
      <c r="X137" s="378"/>
      <c r="Y137" s="369"/>
      <c r="Z137" s="371">
        <f t="shared" si="8"/>
        <v>2.1009119999999999E-2</v>
      </c>
      <c r="AA137" s="371">
        <f t="shared" si="9"/>
        <v>1.2267500000000001E-2</v>
      </c>
      <c r="AB137" s="372" t="str">
        <f t="shared" si="10"/>
        <v>N</v>
      </c>
      <c r="AC137" s="337">
        <v>31</v>
      </c>
      <c r="AD137" s="334"/>
      <c r="AE137" s="334"/>
      <c r="AF137" s="334"/>
      <c r="AG137" s="334"/>
      <c r="AH137" s="333"/>
      <c r="AI137" s="334"/>
      <c r="AJ137" s="365"/>
      <c r="AK137" s="366">
        <f t="shared" si="11"/>
        <v>30.5</v>
      </c>
      <c r="AL137" s="367">
        <f t="shared" si="16"/>
        <v>5317.4360041623313</v>
      </c>
      <c r="AM137" s="378"/>
      <c r="AN137" s="369"/>
      <c r="AO137" s="371">
        <f t="shared" si="12"/>
        <v>2.705515E-2</v>
      </c>
      <c r="AP137" s="371">
        <f t="shared" si="13"/>
        <v>1.3603199999999999E-2</v>
      </c>
      <c r="AQ137" s="372" t="str">
        <f t="shared" si="14"/>
        <v>N</v>
      </c>
      <c r="AR137" s="337">
        <v>31</v>
      </c>
      <c r="AS137" s="334"/>
      <c r="AT137" s="334"/>
      <c r="AU137" s="334"/>
      <c r="AV137" s="334"/>
      <c r="AW137" s="321"/>
    </row>
    <row r="138" spans="19:49">
      <c r="S138" s="321"/>
      <c r="T138" s="334"/>
      <c r="U138" s="365"/>
      <c r="V138" s="366">
        <f t="shared" si="7"/>
        <v>31.5</v>
      </c>
      <c r="W138" s="367">
        <f t="shared" si="15"/>
        <v>883.97511636823685</v>
      </c>
      <c r="X138" s="378"/>
      <c r="Y138" s="369"/>
      <c r="Z138" s="371">
        <f t="shared" si="8"/>
        <v>2.0492469999999999E-2</v>
      </c>
      <c r="AA138" s="371">
        <f t="shared" si="9"/>
        <v>1.175085E-2</v>
      </c>
      <c r="AB138" s="372" t="str">
        <f t="shared" si="10"/>
        <v>N</v>
      </c>
      <c r="AC138" s="337">
        <v>32</v>
      </c>
      <c r="AD138" s="334"/>
      <c r="AE138" s="334"/>
      <c r="AF138" s="334"/>
      <c r="AG138" s="334"/>
      <c r="AH138" s="333"/>
      <c r="AI138" s="334"/>
      <c r="AJ138" s="365"/>
      <c r="AK138" s="366">
        <f t="shared" si="11"/>
        <v>31.5</v>
      </c>
      <c r="AL138" s="367">
        <f t="shared" si="16"/>
        <v>5177.3617021276596</v>
      </c>
      <c r="AM138" s="378"/>
      <c r="AN138" s="369"/>
      <c r="AO138" s="371">
        <f t="shared" si="12"/>
        <v>2.634245E-2</v>
      </c>
      <c r="AP138" s="371">
        <f t="shared" si="13"/>
        <v>1.2890499999999999E-2</v>
      </c>
      <c r="AQ138" s="372" t="str">
        <f t="shared" si="14"/>
        <v>N</v>
      </c>
      <c r="AR138" s="337">
        <v>32</v>
      </c>
      <c r="AS138" s="334"/>
      <c r="AT138" s="334"/>
      <c r="AU138" s="334"/>
      <c r="AV138" s="334"/>
      <c r="AW138" s="321"/>
    </row>
    <row r="139" spans="19:49">
      <c r="S139" s="321"/>
      <c r="T139" s="334"/>
      <c r="U139" s="365"/>
      <c r="V139" s="366">
        <f t="shared" si="7"/>
        <v>32.5</v>
      </c>
      <c r="W139" s="367">
        <f t="shared" si="15"/>
        <v>866.2950513508215</v>
      </c>
      <c r="X139" s="378"/>
      <c r="Y139" s="369"/>
      <c r="Z139" s="371">
        <f t="shared" si="8"/>
        <v>2.0000629999999998E-2</v>
      </c>
      <c r="AA139" s="371">
        <f t="shared" si="9"/>
        <v>1.125901E-2</v>
      </c>
      <c r="AB139" s="372" t="str">
        <f t="shared" si="10"/>
        <v>N</v>
      </c>
      <c r="AC139" s="337">
        <v>33</v>
      </c>
      <c r="AD139" s="334"/>
      <c r="AE139" s="334"/>
      <c r="AF139" s="334"/>
      <c r="AG139" s="334"/>
      <c r="AH139" s="333"/>
      <c r="AI139" s="334"/>
      <c r="AJ139" s="365"/>
      <c r="AK139" s="366">
        <f t="shared" si="11"/>
        <v>32.5</v>
      </c>
      <c r="AL139" s="367">
        <f t="shared" si="16"/>
        <v>5044.4777887462978</v>
      </c>
      <c r="AM139" s="378"/>
      <c r="AN139" s="369"/>
      <c r="AO139" s="371">
        <f t="shared" si="12"/>
        <v>2.5666330000000001E-2</v>
      </c>
      <c r="AP139" s="371">
        <f t="shared" si="13"/>
        <v>1.221438E-2</v>
      </c>
      <c r="AQ139" s="372" t="str">
        <f t="shared" si="14"/>
        <v>N</v>
      </c>
      <c r="AR139" s="337">
        <v>33</v>
      </c>
      <c r="AS139" s="334"/>
      <c r="AT139" s="334"/>
      <c r="AU139" s="334"/>
      <c r="AV139" s="334"/>
      <c r="AW139" s="321"/>
    </row>
    <row r="140" spans="19:49">
      <c r="S140" s="321"/>
      <c r="T140" s="334"/>
      <c r="U140" s="365"/>
      <c r="V140" s="366">
        <f t="shared" si="7"/>
        <v>33.5</v>
      </c>
      <c r="W140" s="367">
        <f t="shared" si="15"/>
        <v>849.37470603420149</v>
      </c>
      <c r="X140" s="378"/>
      <c r="Y140" s="369"/>
      <c r="Z140" s="371">
        <f t="shared" si="8"/>
        <v>1.953185E-2</v>
      </c>
      <c r="AA140" s="371">
        <f t="shared" si="9"/>
        <v>1.079023E-2</v>
      </c>
      <c r="AB140" s="372" t="str">
        <f t="shared" si="10"/>
        <v>N</v>
      </c>
      <c r="AC140" s="337">
        <v>34</v>
      </c>
      <c r="AD140" s="334"/>
      <c r="AE140" s="334"/>
      <c r="AF140" s="334"/>
      <c r="AG140" s="334"/>
      <c r="AH140" s="333"/>
      <c r="AI140" s="334"/>
      <c r="AJ140" s="365"/>
      <c r="AK140" s="366">
        <f t="shared" si="11"/>
        <v>33.5</v>
      </c>
      <c r="AL140" s="367">
        <f t="shared" si="16"/>
        <v>4918.2444658325312</v>
      </c>
      <c r="AM140" s="378"/>
      <c r="AN140" s="369"/>
      <c r="AO140" s="371">
        <f t="shared" si="12"/>
        <v>2.5024060000000001E-2</v>
      </c>
      <c r="AP140" s="371">
        <f t="shared" si="13"/>
        <v>1.157211E-2</v>
      </c>
      <c r="AQ140" s="372" t="str">
        <f t="shared" si="14"/>
        <v>N</v>
      </c>
      <c r="AR140" s="337">
        <v>34</v>
      </c>
      <c r="AS140" s="334"/>
      <c r="AT140" s="334"/>
      <c r="AU140" s="334"/>
      <c r="AV140" s="334"/>
      <c r="AW140" s="321"/>
    </row>
    <row r="141" spans="19:49">
      <c r="S141" s="321"/>
      <c r="T141" s="334"/>
      <c r="U141" s="365"/>
      <c r="V141" s="366">
        <f t="shared" si="7"/>
        <v>34.5</v>
      </c>
      <c r="W141" s="367">
        <f t="shared" si="15"/>
        <v>833.1647834052327</v>
      </c>
      <c r="X141" s="378"/>
      <c r="Y141" s="369"/>
      <c r="Z141" s="371">
        <f t="shared" si="8"/>
        <v>1.9084529999999999E-2</v>
      </c>
      <c r="AA141" s="371">
        <f t="shared" si="9"/>
        <v>1.034291E-2</v>
      </c>
      <c r="AB141" s="372" t="str">
        <f t="shared" si="10"/>
        <v>N</v>
      </c>
      <c r="AC141" s="337">
        <v>35</v>
      </c>
      <c r="AD141" s="334"/>
      <c r="AE141" s="334"/>
      <c r="AF141" s="334"/>
      <c r="AG141" s="334"/>
      <c r="AH141" s="333"/>
      <c r="AI141" s="334"/>
      <c r="AJ141" s="365"/>
      <c r="AK141" s="366">
        <f t="shared" si="11"/>
        <v>34.5</v>
      </c>
      <c r="AL141" s="367">
        <f t="shared" si="16"/>
        <v>4798.1746478873238</v>
      </c>
      <c r="AM141" s="378"/>
      <c r="AN141" s="369"/>
      <c r="AO141" s="371">
        <f t="shared" si="12"/>
        <v>2.441314E-2</v>
      </c>
      <c r="AP141" s="371">
        <f t="shared" si="13"/>
        <v>1.0961190000000001E-2</v>
      </c>
      <c r="AQ141" s="372" t="str">
        <f t="shared" si="14"/>
        <v>N</v>
      </c>
      <c r="AR141" s="337">
        <v>35</v>
      </c>
      <c r="AS141" s="334"/>
      <c r="AT141" s="334"/>
      <c r="AU141" s="334"/>
      <c r="AV141" s="334"/>
      <c r="AW141" s="321"/>
    </row>
    <row r="142" spans="19:49" ht="15.05" thickBot="1">
      <c r="S142" s="321"/>
      <c r="T142" s="334"/>
      <c r="U142" s="373">
        <f>1+U130</f>
        <v>3</v>
      </c>
      <c r="V142" s="374">
        <f t="shared" si="7"/>
        <v>35.5</v>
      </c>
      <c r="W142" s="367">
        <f t="shared" si="15"/>
        <v>817.62021738057069</v>
      </c>
      <c r="X142" s="375">
        <f>SUM(W131:W142)</f>
        <v>11009.964101895694</v>
      </c>
      <c r="Y142" s="376">
        <f>-(X142/X130-1)</f>
        <v>0.26701571502446475</v>
      </c>
      <c r="Z142" s="371">
        <f t="shared" si="8"/>
        <v>1.865725E-2</v>
      </c>
      <c r="AA142" s="371">
        <f t="shared" si="9"/>
        <v>9.9156299999999999E-3</v>
      </c>
      <c r="AB142" s="372" t="str">
        <f t="shared" si="10"/>
        <v>N</v>
      </c>
      <c r="AC142" s="337">
        <v>36</v>
      </c>
      <c r="AD142" s="334"/>
      <c r="AE142" s="334"/>
      <c r="AF142" s="334"/>
      <c r="AG142" s="334"/>
      <c r="AH142" s="333"/>
      <c r="AI142" s="334"/>
      <c r="AJ142" s="373">
        <f>1+AJ130</f>
        <v>3</v>
      </c>
      <c r="AK142" s="374">
        <f t="shared" si="11"/>
        <v>35.5</v>
      </c>
      <c r="AL142" s="367">
        <f t="shared" si="16"/>
        <v>4683.8276810265806</v>
      </c>
      <c r="AM142" s="375">
        <f>SUM(AL131:AL142)</f>
        <v>65273.506113161689</v>
      </c>
      <c r="AN142" s="376">
        <f>-(AM142/AM130-1)</f>
        <v>0.3367018633328418</v>
      </c>
      <c r="AO142" s="371">
        <f t="shared" si="12"/>
        <v>2.3831339999999999E-2</v>
      </c>
      <c r="AP142" s="371">
        <f t="shared" si="13"/>
        <v>1.037939E-2</v>
      </c>
      <c r="AQ142" s="372" t="str">
        <f t="shared" si="14"/>
        <v>N</v>
      </c>
      <c r="AR142" s="337">
        <v>36</v>
      </c>
      <c r="AS142" s="334"/>
      <c r="AT142" s="334"/>
      <c r="AU142" s="334"/>
      <c r="AV142" s="334"/>
      <c r="AW142" s="321"/>
    </row>
    <row r="143" spans="19:49">
      <c r="S143" s="321"/>
      <c r="T143" s="334"/>
      <c r="U143" s="365"/>
      <c r="V143" s="366">
        <f t="shared" si="7"/>
        <v>36.5</v>
      </c>
      <c r="W143" s="377">
        <f t="shared" si="15"/>
        <v>802.69972498219022</v>
      </c>
      <c r="X143" s="378"/>
      <c r="Y143" s="369"/>
      <c r="Z143" s="371">
        <f t="shared" si="8"/>
        <v>1.824868E-2</v>
      </c>
      <c r="AA143" s="371">
        <f t="shared" si="9"/>
        <v>9.5070599999999995E-3</v>
      </c>
      <c r="AB143" s="372" t="str">
        <f t="shared" si="10"/>
        <v>N</v>
      </c>
      <c r="AC143" s="337">
        <v>37</v>
      </c>
      <c r="AD143" s="334"/>
      <c r="AE143" s="334"/>
      <c r="AF143" s="334"/>
      <c r="AG143" s="334"/>
      <c r="AH143" s="333"/>
      <c r="AI143" s="334"/>
      <c r="AJ143" s="365"/>
      <c r="AK143" s="366">
        <f t="shared" si="11"/>
        <v>36.5</v>
      </c>
      <c r="AL143" s="377">
        <f t="shared" si="16"/>
        <v>4574.8039391226503</v>
      </c>
      <c r="AM143" s="378"/>
      <c r="AN143" s="369"/>
      <c r="AO143" s="371">
        <f t="shared" si="12"/>
        <v>2.327663E-2</v>
      </c>
      <c r="AP143" s="371">
        <f t="shared" si="13"/>
        <v>9.8246800000000006E-3</v>
      </c>
      <c r="AQ143" s="372" t="str">
        <f t="shared" si="14"/>
        <v>N</v>
      </c>
      <c r="AR143" s="337">
        <v>37</v>
      </c>
      <c r="AS143" s="334"/>
      <c r="AT143" s="334"/>
      <c r="AU143" s="334"/>
      <c r="AV143" s="334"/>
      <c r="AW143" s="321"/>
    </row>
    <row r="144" spans="19:49">
      <c r="S144" s="321"/>
      <c r="T144" s="334"/>
      <c r="U144" s="365"/>
      <c r="V144" s="366">
        <f t="shared" si="7"/>
        <v>37.5</v>
      </c>
      <c r="W144" s="367">
        <f t="shared" si="15"/>
        <v>788.36541449442404</v>
      </c>
      <c r="X144" s="378"/>
      <c r="Y144" s="369"/>
      <c r="Z144" s="371">
        <f t="shared" si="8"/>
        <v>1.7857620000000001E-2</v>
      </c>
      <c r="AA144" s="371">
        <f t="shared" si="9"/>
        <v>9.1160000000000008E-3</v>
      </c>
      <c r="AB144" s="372" t="str">
        <f t="shared" si="10"/>
        <v>N</v>
      </c>
      <c r="AC144" s="337">
        <v>38</v>
      </c>
      <c r="AD144" s="334"/>
      <c r="AE144" s="334"/>
      <c r="AF144" s="334"/>
      <c r="AG144" s="334"/>
      <c r="AH144" s="333"/>
      <c r="AI144" s="334"/>
      <c r="AJ144" s="365"/>
      <c r="AK144" s="366">
        <f t="shared" si="11"/>
        <v>37.5</v>
      </c>
      <c r="AL144" s="367">
        <f t="shared" si="16"/>
        <v>4470.7401574803152</v>
      </c>
      <c r="AM144" s="378"/>
      <c r="AN144" s="369"/>
      <c r="AO144" s="371">
        <f t="shared" si="12"/>
        <v>2.2747150000000001E-2</v>
      </c>
      <c r="AP144" s="371">
        <f t="shared" si="13"/>
        <v>9.2952E-3</v>
      </c>
      <c r="AQ144" s="372" t="str">
        <f t="shared" si="14"/>
        <v>N</v>
      </c>
      <c r="AR144" s="337">
        <v>38</v>
      </c>
      <c r="AS144" s="334"/>
      <c r="AT144" s="334"/>
      <c r="AU144" s="334"/>
      <c r="AV144" s="334"/>
      <c r="AW144" s="321"/>
    </row>
    <row r="145" spans="19:49">
      <c r="S145" s="321"/>
      <c r="T145" s="334"/>
      <c r="U145" s="365"/>
      <c r="V145" s="366">
        <f t="shared" si="7"/>
        <v>38.5</v>
      </c>
      <c r="W145" s="367">
        <f t="shared" si="15"/>
        <v>774.58244157665865</v>
      </c>
      <c r="X145" s="378"/>
      <c r="Y145" s="369"/>
      <c r="Z145" s="371">
        <f t="shared" si="8"/>
        <v>1.748297E-2</v>
      </c>
      <c r="AA145" s="371">
        <f t="shared" si="9"/>
        <v>8.7413500000000002E-3</v>
      </c>
      <c r="AB145" s="372" t="str">
        <f t="shared" si="10"/>
        <v>N</v>
      </c>
      <c r="AC145" s="337">
        <v>39</v>
      </c>
      <c r="AD145" s="334"/>
      <c r="AE145" s="334"/>
      <c r="AF145" s="334"/>
      <c r="AG145" s="334"/>
      <c r="AH145" s="333"/>
      <c r="AI145" s="334"/>
      <c r="AJ145" s="365"/>
      <c r="AK145" s="366">
        <f t="shared" si="11"/>
        <v>38.5</v>
      </c>
      <c r="AL145" s="367">
        <f t="shared" si="16"/>
        <v>4371.3053892215567</v>
      </c>
      <c r="AM145" s="378"/>
      <c r="AN145" s="369"/>
      <c r="AO145" s="371">
        <f t="shared" si="12"/>
        <v>2.2241230000000001E-2</v>
      </c>
      <c r="AP145" s="371">
        <f t="shared" si="13"/>
        <v>8.78928E-3</v>
      </c>
      <c r="AQ145" s="372" t="str">
        <f t="shared" si="14"/>
        <v>N</v>
      </c>
      <c r="AR145" s="337">
        <v>39</v>
      </c>
      <c r="AS145" s="334"/>
      <c r="AT145" s="334"/>
      <c r="AU145" s="334"/>
      <c r="AV145" s="334"/>
      <c r="AW145" s="321"/>
    </row>
    <row r="146" spans="19:49">
      <c r="S146" s="321"/>
      <c r="T146" s="334"/>
      <c r="U146" s="365"/>
      <c r="V146" s="366">
        <f t="shared" si="7"/>
        <v>39.5</v>
      </c>
      <c r="W146" s="367">
        <f t="shared" si="15"/>
        <v>761.31870659775973</v>
      </c>
      <c r="X146" s="378"/>
      <c r="Y146" s="369"/>
      <c r="Z146" s="371">
        <f t="shared" si="8"/>
        <v>1.7123719999999999E-2</v>
      </c>
      <c r="AA146" s="371">
        <f t="shared" si="9"/>
        <v>8.3821E-3</v>
      </c>
      <c r="AB146" s="372" t="str">
        <f t="shared" si="10"/>
        <v>N</v>
      </c>
      <c r="AC146" s="337">
        <v>40</v>
      </c>
      <c r="AD146" s="334"/>
      <c r="AE146" s="334"/>
      <c r="AF146" s="334"/>
      <c r="AG146" s="334"/>
      <c r="AH146" s="333"/>
      <c r="AI146" s="334"/>
      <c r="AJ146" s="365"/>
      <c r="AK146" s="366">
        <f t="shared" si="11"/>
        <v>39.5</v>
      </c>
      <c r="AL146" s="367">
        <f t="shared" si="16"/>
        <v>4276.1974895397489</v>
      </c>
      <c r="AM146" s="378"/>
      <c r="AN146" s="369"/>
      <c r="AO146" s="371">
        <f t="shared" si="12"/>
        <v>2.175732E-2</v>
      </c>
      <c r="AP146" s="371">
        <f t="shared" si="13"/>
        <v>8.3053699999999994E-3</v>
      </c>
      <c r="AQ146" s="372" t="str">
        <f t="shared" si="14"/>
        <v>N</v>
      </c>
      <c r="AR146" s="337">
        <v>40</v>
      </c>
      <c r="AS146" s="334"/>
      <c r="AT146" s="334"/>
      <c r="AU146" s="334"/>
      <c r="AV146" s="334"/>
      <c r="AW146" s="321"/>
    </row>
    <row r="147" spans="19:49">
      <c r="S147" s="321"/>
      <c r="T147" s="334"/>
      <c r="U147" s="365"/>
      <c r="V147" s="366">
        <f t="shared" si="7"/>
        <v>40.5</v>
      </c>
      <c r="W147" s="367">
        <f t="shared" si="15"/>
        <v>748.54458752042922</v>
      </c>
      <c r="X147" s="378"/>
      <c r="Y147" s="369"/>
      <c r="Z147" s="371">
        <f t="shared" si="8"/>
        <v>1.6778930000000001E-2</v>
      </c>
      <c r="AA147" s="371">
        <f t="shared" si="9"/>
        <v>8.0373100000000006E-3</v>
      </c>
      <c r="AB147" s="372" t="str">
        <f t="shared" si="10"/>
        <v>N</v>
      </c>
      <c r="AC147" s="337">
        <v>41</v>
      </c>
      <c r="AD147" s="334"/>
      <c r="AE147" s="334"/>
      <c r="AF147" s="334"/>
      <c r="AG147" s="334"/>
      <c r="AH147" s="333"/>
      <c r="AI147" s="334"/>
      <c r="AJ147" s="365"/>
      <c r="AK147" s="366">
        <f t="shared" si="11"/>
        <v>40.5</v>
      </c>
      <c r="AL147" s="367">
        <f t="shared" si="16"/>
        <v>4185.1400491400491</v>
      </c>
      <c r="AM147" s="378"/>
      <c r="AN147" s="369"/>
      <c r="AO147" s="371">
        <f t="shared" si="12"/>
        <v>2.129402E-2</v>
      </c>
      <c r="AP147" s="371">
        <f t="shared" si="13"/>
        <v>7.8420699999999996E-3</v>
      </c>
      <c r="AQ147" s="372" t="str">
        <f t="shared" si="14"/>
        <v>N</v>
      </c>
      <c r="AR147" s="337">
        <v>41</v>
      </c>
      <c r="AS147" s="334"/>
      <c r="AT147" s="334"/>
      <c r="AU147" s="334"/>
      <c r="AV147" s="334"/>
      <c r="AW147" s="321"/>
    </row>
    <row r="148" spans="19:49">
      <c r="S148" s="321"/>
      <c r="T148" s="334"/>
      <c r="U148" s="365"/>
      <c r="V148" s="366">
        <f t="shared" si="7"/>
        <v>41.5</v>
      </c>
      <c r="W148" s="367">
        <f t="shared" si="15"/>
        <v>736.23270354064869</v>
      </c>
      <c r="X148" s="378"/>
      <c r="Y148" s="369"/>
      <c r="Z148" s="371">
        <f t="shared" si="8"/>
        <v>1.6447759999999999E-2</v>
      </c>
      <c r="AA148" s="371">
        <f t="shared" si="9"/>
        <v>7.7061400000000002E-3</v>
      </c>
      <c r="AB148" s="372" t="str">
        <f t="shared" si="10"/>
        <v>N</v>
      </c>
      <c r="AC148" s="337">
        <v>42</v>
      </c>
      <c r="AD148" s="334"/>
      <c r="AE148" s="334"/>
      <c r="AF148" s="334"/>
      <c r="AG148" s="334"/>
      <c r="AH148" s="333"/>
      <c r="AI148" s="334"/>
      <c r="AJ148" s="365"/>
      <c r="AK148" s="366">
        <f t="shared" si="11"/>
        <v>41.5</v>
      </c>
      <c r="AL148" s="367">
        <f t="shared" si="16"/>
        <v>4097.8797113071369</v>
      </c>
      <c r="AM148" s="378"/>
      <c r="AN148" s="369"/>
      <c r="AO148" s="371">
        <f t="shared" si="12"/>
        <v>2.085004E-2</v>
      </c>
      <c r="AP148" s="371">
        <f t="shared" si="13"/>
        <v>7.3980900000000004E-3</v>
      </c>
      <c r="AQ148" s="372" t="str">
        <f t="shared" si="14"/>
        <v>N</v>
      </c>
      <c r="AR148" s="337">
        <v>42</v>
      </c>
      <c r="AS148" s="334"/>
      <c r="AT148" s="334"/>
      <c r="AU148" s="334"/>
      <c r="AV148" s="334"/>
      <c r="AW148" s="321"/>
    </row>
    <row r="149" spans="19:49">
      <c r="S149" s="321"/>
      <c r="T149" s="334"/>
      <c r="U149" s="365"/>
      <c r="V149" s="366">
        <f t="shared" si="7"/>
        <v>42.5</v>
      </c>
      <c r="W149" s="367">
        <f t="shared" si="15"/>
        <v>724.35770541436068</v>
      </c>
      <c r="X149" s="378"/>
      <c r="Y149" s="369"/>
      <c r="Z149" s="371">
        <f t="shared" si="8"/>
        <v>1.6129399999999999E-2</v>
      </c>
      <c r="AA149" s="371">
        <f t="shared" si="9"/>
        <v>7.38778E-3</v>
      </c>
      <c r="AB149" s="372" t="str">
        <f t="shared" si="10"/>
        <v>N</v>
      </c>
      <c r="AC149" s="337">
        <v>43</v>
      </c>
      <c r="AD149" s="334"/>
      <c r="AE149" s="334"/>
      <c r="AF149" s="334"/>
      <c r="AG149" s="334"/>
      <c r="AH149" s="333"/>
      <c r="AI149" s="334"/>
      <c r="AJ149" s="365"/>
      <c r="AK149" s="366">
        <f t="shared" si="11"/>
        <v>42.5</v>
      </c>
      <c r="AL149" s="367">
        <f t="shared" si="16"/>
        <v>4014.1838177533386</v>
      </c>
      <c r="AM149" s="378"/>
      <c r="AN149" s="369"/>
      <c r="AO149" s="371">
        <f t="shared" si="12"/>
        <v>2.0424189999999998E-2</v>
      </c>
      <c r="AP149" s="371">
        <f t="shared" si="13"/>
        <v>6.9722400000000002E-3</v>
      </c>
      <c r="AQ149" s="372" t="str">
        <f t="shared" si="14"/>
        <v>N</v>
      </c>
      <c r="AR149" s="337">
        <v>43</v>
      </c>
      <c r="AS149" s="334"/>
      <c r="AT149" s="334"/>
      <c r="AU149" s="334"/>
      <c r="AV149" s="334"/>
      <c r="AW149" s="321"/>
    </row>
    <row r="150" spans="19:49">
      <c r="S150" s="321"/>
      <c r="T150" s="334"/>
      <c r="U150" s="365"/>
      <c r="V150" s="366">
        <f t="shared" si="7"/>
        <v>43.5</v>
      </c>
      <c r="W150" s="367">
        <f t="shared" si="15"/>
        <v>712.89608900862027</v>
      </c>
      <c r="X150" s="378"/>
      <c r="Y150" s="369"/>
      <c r="Z150" s="371">
        <f t="shared" si="8"/>
        <v>1.5823139999999999E-2</v>
      </c>
      <c r="AA150" s="371">
        <f t="shared" si="9"/>
        <v>7.08152E-3</v>
      </c>
      <c r="AB150" s="372" t="str">
        <f t="shared" si="10"/>
        <v>N</v>
      </c>
      <c r="AC150" s="337">
        <v>44</v>
      </c>
      <c r="AD150" s="334"/>
      <c r="AE150" s="334"/>
      <c r="AF150" s="334"/>
      <c r="AG150" s="334"/>
      <c r="AH150" s="333"/>
      <c r="AI150" s="334"/>
      <c r="AJ150" s="365"/>
      <c r="AK150" s="366">
        <f t="shared" si="11"/>
        <v>43.5</v>
      </c>
      <c r="AL150" s="367">
        <f t="shared" si="16"/>
        <v>3933.838337182448</v>
      </c>
      <c r="AM150" s="378"/>
      <c r="AN150" s="369"/>
      <c r="AO150" s="371">
        <f t="shared" si="12"/>
        <v>2.0015390000000001E-2</v>
      </c>
      <c r="AP150" s="371">
        <f t="shared" si="13"/>
        <v>6.5634400000000002E-3</v>
      </c>
      <c r="AQ150" s="372" t="str">
        <f t="shared" si="14"/>
        <v>N</v>
      </c>
      <c r="AR150" s="337">
        <v>44</v>
      </c>
      <c r="AS150" s="334"/>
      <c r="AT150" s="334"/>
      <c r="AU150" s="334"/>
      <c r="AV150" s="334"/>
      <c r="AW150" s="321"/>
    </row>
    <row r="151" spans="19:49">
      <c r="S151" s="321"/>
      <c r="T151" s="334"/>
      <c r="U151" s="365"/>
      <c r="V151" s="366">
        <f t="shared" si="7"/>
        <v>44.5</v>
      </c>
      <c r="W151" s="367">
        <f t="shared" si="15"/>
        <v>701.82602911989636</v>
      </c>
      <c r="X151" s="378"/>
      <c r="Y151" s="369"/>
      <c r="Z151" s="371">
        <f t="shared" si="8"/>
        <v>1.552829E-2</v>
      </c>
      <c r="AA151" s="371">
        <f t="shared" si="9"/>
        <v>6.7866699999999999E-3</v>
      </c>
      <c r="AB151" s="372" t="str">
        <f t="shared" si="10"/>
        <v>N</v>
      </c>
      <c r="AC151" s="337">
        <v>45</v>
      </c>
      <c r="AD151" s="334"/>
      <c r="AE151" s="334"/>
      <c r="AF151" s="334"/>
      <c r="AG151" s="334"/>
      <c r="AH151" s="333"/>
      <c r="AI151" s="334"/>
      <c r="AJ151" s="365"/>
      <c r="AK151" s="366">
        <f t="shared" si="11"/>
        <v>44.5</v>
      </c>
      <c r="AL151" s="367">
        <f t="shared" si="16"/>
        <v>3856.6460377358485</v>
      </c>
      <c r="AM151" s="378"/>
      <c r="AN151" s="369"/>
      <c r="AO151" s="371">
        <f t="shared" si="12"/>
        <v>1.962264E-2</v>
      </c>
      <c r="AP151" s="371">
        <f t="shared" si="13"/>
        <v>6.1706900000000004E-3</v>
      </c>
      <c r="AQ151" s="372" t="str">
        <f t="shared" si="14"/>
        <v>N</v>
      </c>
      <c r="AR151" s="337">
        <v>45</v>
      </c>
      <c r="AS151" s="334"/>
      <c r="AT151" s="334"/>
      <c r="AU151" s="334"/>
      <c r="AV151" s="334"/>
      <c r="AW151" s="321"/>
    </row>
    <row r="152" spans="19:49">
      <c r="S152" s="321"/>
      <c r="T152" s="334"/>
      <c r="U152" s="365"/>
      <c r="V152" s="366">
        <f t="shared" si="7"/>
        <v>45.5</v>
      </c>
      <c r="W152" s="367">
        <f t="shared" si="15"/>
        <v>691.12723102600444</v>
      </c>
      <c r="X152" s="378"/>
      <c r="Y152" s="369"/>
      <c r="Z152" s="371">
        <f t="shared" si="8"/>
        <v>1.5244229999999999E-2</v>
      </c>
      <c r="AA152" s="371">
        <f t="shared" si="9"/>
        <v>6.5026099999999998E-3</v>
      </c>
      <c r="AB152" s="372" t="str">
        <f t="shared" si="10"/>
        <v>N</v>
      </c>
      <c r="AC152" s="337">
        <v>46</v>
      </c>
      <c r="AD152" s="334"/>
      <c r="AE152" s="334"/>
      <c r="AF152" s="334"/>
      <c r="AG152" s="334"/>
      <c r="AH152" s="333"/>
      <c r="AI152" s="334"/>
      <c r="AJ152" s="365"/>
      <c r="AK152" s="366">
        <f t="shared" si="11"/>
        <v>45.5</v>
      </c>
      <c r="AL152" s="367">
        <f t="shared" si="16"/>
        <v>3782.4248704663205</v>
      </c>
      <c r="AM152" s="378"/>
      <c r="AN152" s="369"/>
      <c r="AO152" s="371">
        <f t="shared" si="12"/>
        <v>1.9245000000000002E-2</v>
      </c>
      <c r="AP152" s="371">
        <f t="shared" si="13"/>
        <v>5.7930500000000001E-3</v>
      </c>
      <c r="AQ152" s="372" t="str">
        <f t="shared" si="14"/>
        <v>N</v>
      </c>
      <c r="AR152" s="337">
        <v>46</v>
      </c>
      <c r="AS152" s="334"/>
      <c r="AT152" s="334"/>
      <c r="AU152" s="334"/>
      <c r="AV152" s="334"/>
      <c r="AW152" s="321"/>
    </row>
    <row r="153" spans="19:49">
      <c r="S153" s="321"/>
      <c r="T153" s="334"/>
      <c r="U153" s="365"/>
      <c r="V153" s="366">
        <f t="shared" si="7"/>
        <v>46.5</v>
      </c>
      <c r="W153" s="367">
        <f t="shared" si="15"/>
        <v>680.7807975946738</v>
      </c>
      <c r="X153" s="378"/>
      <c r="Y153" s="369"/>
      <c r="Z153" s="371">
        <f t="shared" si="8"/>
        <v>1.497037E-2</v>
      </c>
      <c r="AA153" s="371">
        <f t="shared" si="9"/>
        <v>6.2287499999999999E-3</v>
      </c>
      <c r="AB153" s="372" t="str">
        <f t="shared" si="10"/>
        <v>N</v>
      </c>
      <c r="AC153" s="337">
        <v>47</v>
      </c>
      <c r="AD153" s="334"/>
      <c r="AE153" s="334"/>
      <c r="AF153" s="334"/>
      <c r="AG153" s="334"/>
      <c r="AH153" s="333"/>
      <c r="AI153" s="334"/>
      <c r="AJ153" s="365"/>
      <c r="AK153" s="366">
        <f t="shared" si="11"/>
        <v>46.5</v>
      </c>
      <c r="AL153" s="367">
        <f t="shared" si="16"/>
        <v>3711.0065359477117</v>
      </c>
      <c r="AM153" s="378"/>
      <c r="AN153" s="369"/>
      <c r="AO153" s="371">
        <f t="shared" si="12"/>
        <v>1.8881619999999998E-2</v>
      </c>
      <c r="AP153" s="371">
        <f t="shared" si="13"/>
        <v>5.4296700000000002E-3</v>
      </c>
      <c r="AQ153" s="372" t="str">
        <f t="shared" si="14"/>
        <v>N</v>
      </c>
      <c r="AR153" s="337">
        <v>47</v>
      </c>
      <c r="AS153" s="334"/>
      <c r="AT153" s="334"/>
      <c r="AU153" s="334"/>
      <c r="AV153" s="334"/>
      <c r="AW153" s="321"/>
    </row>
    <row r="154" spans="19:49" ht="15.05" thickBot="1">
      <c r="S154" s="321"/>
      <c r="T154" s="334"/>
      <c r="U154" s="373">
        <f>1+U142</f>
        <v>4</v>
      </c>
      <c r="V154" s="374">
        <f t="shared" si="7"/>
        <v>47.5</v>
      </c>
      <c r="W154" s="367">
        <f t="shared" si="15"/>
        <v>670.76911007271519</v>
      </c>
      <c r="X154" s="375">
        <f>SUM(W143:W154)</f>
        <v>8793.500540948382</v>
      </c>
      <c r="Y154" s="376">
        <f>-(X154/X142-1)</f>
        <v>0.20131433131245913</v>
      </c>
      <c r="Z154" s="371">
        <f t="shared" si="8"/>
        <v>1.4706179999999999E-2</v>
      </c>
      <c r="AA154" s="371">
        <f t="shared" si="9"/>
        <v>5.9645599999999998E-3</v>
      </c>
      <c r="AB154" s="372" t="str">
        <f t="shared" si="10"/>
        <v>N</v>
      </c>
      <c r="AC154" s="337">
        <v>48</v>
      </c>
      <c r="AD154" s="334"/>
      <c r="AE154" s="334"/>
      <c r="AF154" s="334"/>
      <c r="AG154" s="334"/>
      <c r="AH154" s="333"/>
      <c r="AI154" s="334"/>
      <c r="AJ154" s="373">
        <f>1+AJ142</f>
        <v>4</v>
      </c>
      <c r="AK154" s="374">
        <f t="shared" si="11"/>
        <v>47.5</v>
      </c>
      <c r="AL154" s="367">
        <f t="shared" si="16"/>
        <v>3642.2352102637205</v>
      </c>
      <c r="AM154" s="375">
        <f>SUM(AL143:AL154)</f>
        <v>48916.401545160836</v>
      </c>
      <c r="AN154" s="376">
        <f>-(AM154/AM142-1)</f>
        <v>0.25059331943412522</v>
      </c>
      <c r="AO154" s="371">
        <f t="shared" si="12"/>
        <v>1.853171E-2</v>
      </c>
      <c r="AP154" s="371">
        <f t="shared" si="13"/>
        <v>5.07976E-3</v>
      </c>
      <c r="AQ154" s="372" t="str">
        <f t="shared" si="14"/>
        <v>N</v>
      </c>
      <c r="AR154" s="337">
        <v>48</v>
      </c>
      <c r="AS154" s="334"/>
      <c r="AT154" s="334"/>
      <c r="AU154" s="334"/>
      <c r="AV154" s="334"/>
      <c r="AW154" s="321"/>
    </row>
    <row r="155" spans="19:49">
      <c r="S155" s="321"/>
      <c r="T155" s="334"/>
      <c r="U155" s="365"/>
      <c r="V155" s="366">
        <f t="shared" si="7"/>
        <v>48.5</v>
      </c>
      <c r="W155" s="377">
        <f t="shared" si="15"/>
        <v>661.0757209345968</v>
      </c>
      <c r="X155" s="378"/>
      <c r="Y155" s="369"/>
      <c r="Z155" s="371">
        <f t="shared" si="8"/>
        <v>1.4451149999999999E-2</v>
      </c>
      <c r="AA155" s="371">
        <f t="shared" si="9"/>
        <v>5.70953E-3</v>
      </c>
      <c r="AB155" s="372" t="str">
        <f t="shared" si="10"/>
        <v>N</v>
      </c>
      <c r="AC155" s="337">
        <v>49</v>
      </c>
      <c r="AD155" s="334"/>
      <c r="AE155" s="334"/>
      <c r="AF155" s="334"/>
      <c r="AG155" s="334"/>
      <c r="AH155" s="333"/>
      <c r="AI155" s="334"/>
      <c r="AJ155" s="365"/>
      <c r="AK155" s="366">
        <f t="shared" si="11"/>
        <v>48.5</v>
      </c>
      <c r="AL155" s="377">
        <f t="shared" si="16"/>
        <v>3575.9664100769769</v>
      </c>
      <c r="AM155" s="378"/>
      <c r="AN155" s="369"/>
      <c r="AO155" s="371">
        <f t="shared" si="12"/>
        <v>1.8194539999999999E-2</v>
      </c>
      <c r="AP155" s="371">
        <f t="shared" si="13"/>
        <v>4.7425899999999997E-3</v>
      </c>
      <c r="AQ155" s="372" t="str">
        <f t="shared" si="14"/>
        <v>N</v>
      </c>
      <c r="AR155" s="337">
        <v>49</v>
      </c>
      <c r="AS155" s="334"/>
      <c r="AT155" s="334"/>
      <c r="AU155" s="334"/>
      <c r="AV155" s="334"/>
      <c r="AW155" s="321"/>
    </row>
    <row r="156" spans="19:49">
      <c r="S156" s="321"/>
      <c r="T156" s="334"/>
      <c r="U156" s="365"/>
      <c r="V156" s="366">
        <f t="shared" si="7"/>
        <v>49.5</v>
      </c>
      <c r="W156" s="367">
        <f t="shared" si="15"/>
        <v>651.68525738572077</v>
      </c>
      <c r="X156" s="378"/>
      <c r="Y156" s="369"/>
      <c r="Z156" s="371">
        <f t="shared" si="8"/>
        <v>1.420482E-2</v>
      </c>
      <c r="AA156" s="371">
        <f t="shared" si="9"/>
        <v>5.4631999999999997E-3</v>
      </c>
      <c r="AB156" s="372" t="str">
        <f t="shared" si="10"/>
        <v>N</v>
      </c>
      <c r="AC156" s="337">
        <v>50</v>
      </c>
      <c r="AD156" s="334"/>
      <c r="AE156" s="334"/>
      <c r="AF156" s="334"/>
      <c r="AG156" s="334"/>
      <c r="AH156" s="333"/>
      <c r="AI156" s="334"/>
      <c r="AJ156" s="365"/>
      <c r="AK156" s="366">
        <f t="shared" si="11"/>
        <v>49.5</v>
      </c>
      <c r="AL156" s="367">
        <f t="shared" si="16"/>
        <v>3512.0659793814439</v>
      </c>
      <c r="AM156" s="378"/>
      <c r="AN156" s="369"/>
      <c r="AO156" s="371">
        <f t="shared" si="12"/>
        <v>1.7869409999999999E-2</v>
      </c>
      <c r="AP156" s="371">
        <f t="shared" si="13"/>
        <v>4.4174599999999998E-3</v>
      </c>
      <c r="AQ156" s="372" t="str">
        <f t="shared" si="14"/>
        <v>N</v>
      </c>
      <c r="AR156" s="337">
        <v>50</v>
      </c>
      <c r="AS156" s="334"/>
      <c r="AT156" s="334"/>
      <c r="AU156" s="334"/>
      <c r="AV156" s="334"/>
      <c r="AW156" s="321"/>
    </row>
    <row r="157" spans="19:49">
      <c r="S157" s="321"/>
      <c r="T157" s="334"/>
      <c r="U157" s="365"/>
      <c r="V157" s="366">
        <f t="shared" si="7"/>
        <v>50.5</v>
      </c>
      <c r="W157" s="367">
        <f t="shared" si="15"/>
        <v>642.58333430011237</v>
      </c>
      <c r="X157" s="378"/>
      <c r="Y157" s="369"/>
      <c r="Z157" s="371">
        <f t="shared" si="8"/>
        <v>1.396674E-2</v>
      </c>
      <c r="AA157" s="371">
        <f t="shared" si="9"/>
        <v>5.2251199999999998E-3</v>
      </c>
      <c r="AB157" s="372" t="str">
        <f t="shared" si="10"/>
        <v>N</v>
      </c>
      <c r="AC157" s="337">
        <v>51</v>
      </c>
      <c r="AD157" s="334"/>
      <c r="AE157" s="334"/>
      <c r="AF157" s="334"/>
      <c r="AG157" s="334"/>
      <c r="AH157" s="333"/>
      <c r="AI157" s="334"/>
      <c r="AJ157" s="365"/>
      <c r="AK157" s="366">
        <f t="shared" si="11"/>
        <v>50.5</v>
      </c>
      <c r="AL157" s="367">
        <f t="shared" si="16"/>
        <v>3450.4091829844701</v>
      </c>
      <c r="AM157" s="378"/>
      <c r="AN157" s="369"/>
      <c r="AO157" s="371">
        <f t="shared" si="12"/>
        <v>1.75557E-2</v>
      </c>
      <c r="AP157" s="371">
        <f t="shared" si="13"/>
        <v>4.1037499999999998E-3</v>
      </c>
      <c r="AQ157" s="372" t="str">
        <f t="shared" si="14"/>
        <v>N</v>
      </c>
      <c r="AR157" s="337">
        <v>51</v>
      </c>
      <c r="AS157" s="334"/>
      <c r="AT157" s="334"/>
      <c r="AU157" s="334"/>
      <c r="AV157" s="334"/>
      <c r="AW157" s="321"/>
    </row>
    <row r="158" spans="19:49">
      <c r="S158" s="321"/>
      <c r="T158" s="334"/>
      <c r="U158" s="365"/>
      <c r="V158" s="366">
        <f t="shared" si="7"/>
        <v>51.5</v>
      </c>
      <c r="W158" s="367">
        <f t="shared" si="15"/>
        <v>633.75647552981104</v>
      </c>
      <c r="X158" s="378"/>
      <c r="Y158" s="369"/>
      <c r="Z158" s="371">
        <f t="shared" si="8"/>
        <v>1.373651E-2</v>
      </c>
      <c r="AA158" s="371">
        <f t="shared" si="9"/>
        <v>4.9948900000000001E-3</v>
      </c>
      <c r="AB158" s="372" t="str">
        <f t="shared" si="10"/>
        <v>N</v>
      </c>
      <c r="AC158" s="337">
        <v>52</v>
      </c>
      <c r="AD158" s="334"/>
      <c r="AE158" s="334"/>
      <c r="AF158" s="334"/>
      <c r="AG158" s="334"/>
      <c r="AH158" s="333"/>
      <c r="AI158" s="334"/>
      <c r="AJ158" s="365"/>
      <c r="AK158" s="366">
        <f t="shared" si="11"/>
        <v>51.5</v>
      </c>
      <c r="AL158" s="367">
        <f t="shared" si="16"/>
        <v>3390.8798938287991</v>
      </c>
      <c r="AM158" s="378"/>
      <c r="AN158" s="369"/>
      <c r="AO158" s="371">
        <f t="shared" si="12"/>
        <v>1.7252819999999999E-2</v>
      </c>
      <c r="AP158" s="371">
        <f t="shared" si="13"/>
        <v>3.80087E-3</v>
      </c>
      <c r="AQ158" s="372" t="str">
        <f t="shared" si="14"/>
        <v>N</v>
      </c>
      <c r="AR158" s="337">
        <v>52</v>
      </c>
      <c r="AS158" s="334"/>
      <c r="AT158" s="334"/>
      <c r="AU158" s="334"/>
      <c r="AV158" s="334"/>
      <c r="AW158" s="321"/>
    </row>
    <row r="159" spans="19:49">
      <c r="S159" s="321"/>
      <c r="T159" s="334"/>
      <c r="U159" s="365"/>
      <c r="V159" s="366">
        <f t="shared" si="7"/>
        <v>52.5</v>
      </c>
      <c r="W159" s="367">
        <f t="shared" si="15"/>
        <v>625.19204265824862</v>
      </c>
      <c r="X159" s="378"/>
      <c r="Y159" s="369"/>
      <c r="Z159" s="371">
        <f t="shared" si="8"/>
        <v>1.351375E-2</v>
      </c>
      <c r="AA159" s="371">
        <f t="shared" si="9"/>
        <v>4.7721300000000003E-3</v>
      </c>
      <c r="AB159" s="372" t="str">
        <f t="shared" si="10"/>
        <v>N</v>
      </c>
      <c r="AC159" s="337">
        <v>53</v>
      </c>
      <c r="AD159" s="334"/>
      <c r="AE159" s="334"/>
      <c r="AF159" s="334"/>
      <c r="AG159" s="334"/>
      <c r="AH159" s="333"/>
      <c r="AI159" s="334"/>
      <c r="AJ159" s="365"/>
      <c r="AK159" s="366">
        <f t="shared" si="11"/>
        <v>52.5</v>
      </c>
      <c r="AL159" s="367">
        <f t="shared" si="16"/>
        <v>3333.3698630136987</v>
      </c>
      <c r="AM159" s="378"/>
      <c r="AN159" s="369"/>
      <c r="AO159" s="371">
        <f t="shared" si="12"/>
        <v>1.6960200000000002E-2</v>
      </c>
      <c r="AP159" s="371">
        <f t="shared" si="13"/>
        <v>3.5082500000000001E-3</v>
      </c>
      <c r="AQ159" s="372" t="str">
        <f t="shared" si="14"/>
        <v>N</v>
      </c>
      <c r="AR159" s="337">
        <v>53</v>
      </c>
      <c r="AS159" s="334"/>
      <c r="AT159" s="334"/>
      <c r="AU159" s="334"/>
      <c r="AV159" s="334"/>
      <c r="AW159" s="321"/>
    </row>
    <row r="160" spans="19:49">
      <c r="S160" s="321"/>
      <c r="T160" s="334"/>
      <c r="U160" s="365"/>
      <c r="V160" s="366">
        <f t="shared" si="7"/>
        <v>53.5</v>
      </c>
      <c r="W160" s="367">
        <f t="shared" si="15"/>
        <v>616.87817038586843</v>
      </c>
      <c r="X160" s="378"/>
      <c r="Y160" s="369"/>
      <c r="Z160" s="371">
        <f t="shared" si="8"/>
        <v>1.32981E-2</v>
      </c>
      <c r="AA160" s="371">
        <f t="shared" si="9"/>
        <v>4.5564799999999999E-3</v>
      </c>
      <c r="AB160" s="372" t="str">
        <f t="shared" si="10"/>
        <v>N</v>
      </c>
      <c r="AC160" s="337">
        <v>54</v>
      </c>
      <c r="AD160" s="334"/>
      <c r="AE160" s="334"/>
      <c r="AF160" s="334"/>
      <c r="AG160" s="334"/>
      <c r="AH160" s="333"/>
      <c r="AI160" s="334"/>
      <c r="AJ160" s="365"/>
      <c r="AK160" s="366">
        <f t="shared" si="11"/>
        <v>53.5</v>
      </c>
      <c r="AL160" s="367">
        <f t="shared" si="16"/>
        <v>3277.7780628608079</v>
      </c>
      <c r="AM160" s="378"/>
      <c r="AN160" s="369"/>
      <c r="AO160" s="371">
        <f t="shared" si="12"/>
        <v>1.6677350000000001E-2</v>
      </c>
      <c r="AP160" s="371">
        <f t="shared" si="13"/>
        <v>3.2253999999999998E-3</v>
      </c>
      <c r="AQ160" s="372" t="str">
        <f t="shared" si="14"/>
        <v>N</v>
      </c>
      <c r="AR160" s="337">
        <v>54</v>
      </c>
      <c r="AS160" s="334"/>
      <c r="AT160" s="334"/>
      <c r="AU160" s="334"/>
      <c r="AV160" s="334"/>
      <c r="AW160" s="321"/>
    </row>
    <row r="161" spans="19:49">
      <c r="S161" s="321"/>
      <c r="T161" s="334"/>
      <c r="U161" s="365"/>
      <c r="V161" s="366">
        <f t="shared" si="7"/>
        <v>54.5</v>
      </c>
      <c r="W161" s="367">
        <f t="shared" si="15"/>
        <v>608.80370783612364</v>
      </c>
      <c r="X161" s="378"/>
      <c r="Y161" s="369"/>
      <c r="Z161" s="371">
        <f t="shared" si="8"/>
        <v>1.308923E-2</v>
      </c>
      <c r="AA161" s="371">
        <f t="shared" si="9"/>
        <v>4.34761E-3</v>
      </c>
      <c r="AB161" s="372" t="str">
        <f t="shared" si="10"/>
        <v>N</v>
      </c>
      <c r="AC161" s="337">
        <v>55</v>
      </c>
      <c r="AD161" s="334"/>
      <c r="AE161" s="334"/>
      <c r="AF161" s="334"/>
      <c r="AG161" s="334"/>
      <c r="AH161" s="333"/>
      <c r="AI161" s="334"/>
      <c r="AJ161" s="365"/>
      <c r="AK161" s="366">
        <f t="shared" si="11"/>
        <v>54.5</v>
      </c>
      <c r="AL161" s="367">
        <f t="shared" si="16"/>
        <v>3224.0100946372236</v>
      </c>
      <c r="AM161" s="378"/>
      <c r="AN161" s="369"/>
      <c r="AO161" s="371">
        <f t="shared" si="12"/>
        <v>1.640378E-2</v>
      </c>
      <c r="AP161" s="371">
        <f t="shared" si="13"/>
        <v>2.9518299999999999E-3</v>
      </c>
      <c r="AQ161" s="372" t="str">
        <f t="shared" si="14"/>
        <v>N</v>
      </c>
      <c r="AR161" s="337">
        <v>55</v>
      </c>
      <c r="AS161" s="334"/>
      <c r="AT161" s="334"/>
      <c r="AU161" s="334"/>
      <c r="AV161" s="334"/>
      <c r="AW161" s="321"/>
    </row>
    <row r="162" spans="19:49">
      <c r="S162" s="321"/>
      <c r="T162" s="334"/>
      <c r="U162" s="365"/>
      <c r="V162" s="366">
        <f t="shared" si="7"/>
        <v>55.5</v>
      </c>
      <c r="W162" s="367">
        <f t="shared" si="15"/>
        <v>600.95816515621993</v>
      </c>
      <c r="X162" s="378"/>
      <c r="Y162" s="369"/>
      <c r="Z162" s="371">
        <f t="shared" si="8"/>
        <v>1.288681E-2</v>
      </c>
      <c r="AA162" s="371">
        <f t="shared" si="9"/>
        <v>4.14519E-3</v>
      </c>
      <c r="AB162" s="372" t="str">
        <f t="shared" si="10"/>
        <v>N</v>
      </c>
      <c r="AC162" s="337">
        <v>56</v>
      </c>
      <c r="AD162" s="334"/>
      <c r="AE162" s="334"/>
      <c r="AF162" s="334"/>
      <c r="AG162" s="334"/>
      <c r="AH162" s="333"/>
      <c r="AI162" s="334"/>
      <c r="AJ162" s="365"/>
      <c r="AK162" s="366">
        <f t="shared" si="11"/>
        <v>55.5</v>
      </c>
      <c r="AL162" s="367">
        <f t="shared" si="16"/>
        <v>3171.9776536312847</v>
      </c>
      <c r="AM162" s="378"/>
      <c r="AN162" s="369"/>
      <c r="AO162" s="371">
        <f t="shared" si="12"/>
        <v>1.613904E-2</v>
      </c>
      <c r="AP162" s="371">
        <f t="shared" si="13"/>
        <v>2.6870900000000001E-3</v>
      </c>
      <c r="AQ162" s="372" t="str">
        <f t="shared" si="14"/>
        <v>N</v>
      </c>
      <c r="AR162" s="337">
        <v>56</v>
      </c>
      <c r="AS162" s="334"/>
      <c r="AT162" s="334"/>
      <c r="AU162" s="334"/>
      <c r="AV162" s="334"/>
      <c r="AW162" s="321"/>
    </row>
    <row r="163" spans="19:49">
      <c r="S163" s="321"/>
      <c r="T163" s="334"/>
      <c r="U163" s="365"/>
      <c r="V163" s="366">
        <f t="shared" si="7"/>
        <v>56.5</v>
      </c>
      <c r="W163" s="367">
        <f t="shared" si="15"/>
        <v>593.3316648616086</v>
      </c>
      <c r="X163" s="378"/>
      <c r="Y163" s="369"/>
      <c r="Z163" s="371">
        <f t="shared" si="8"/>
        <v>1.269056E-2</v>
      </c>
      <c r="AA163" s="371">
        <f t="shared" si="9"/>
        <v>3.9489399999999997E-3</v>
      </c>
      <c r="AB163" s="372" t="str">
        <f t="shared" si="10"/>
        <v>N</v>
      </c>
      <c r="AC163" s="337">
        <v>57</v>
      </c>
      <c r="AD163" s="334"/>
      <c r="AE163" s="334"/>
      <c r="AF163" s="334"/>
      <c r="AG163" s="334"/>
      <c r="AH163" s="333"/>
      <c r="AI163" s="334"/>
      <c r="AJ163" s="365"/>
      <c r="AK163" s="366">
        <f t="shared" si="11"/>
        <v>56.5</v>
      </c>
      <c r="AL163" s="367">
        <f t="shared" si="16"/>
        <v>3121.5980452046429</v>
      </c>
      <c r="AM163" s="378"/>
      <c r="AN163" s="369"/>
      <c r="AO163" s="371">
        <f t="shared" si="12"/>
        <v>1.5882710000000001E-2</v>
      </c>
      <c r="AP163" s="371">
        <f t="shared" si="13"/>
        <v>2.4307600000000001E-3</v>
      </c>
      <c r="AQ163" s="372" t="str">
        <f t="shared" si="14"/>
        <v>N</v>
      </c>
      <c r="AR163" s="337">
        <v>57</v>
      </c>
      <c r="AS163" s="334"/>
      <c r="AT163" s="334"/>
      <c r="AU163" s="334"/>
      <c r="AV163" s="334"/>
      <c r="AW163" s="321"/>
    </row>
    <row r="164" spans="19:49">
      <c r="S164" s="321"/>
      <c r="T164" s="334"/>
      <c r="U164" s="365"/>
      <c r="V164" s="366">
        <f t="shared" si="7"/>
        <v>57.5</v>
      </c>
      <c r="W164" s="367">
        <f t="shared" si="15"/>
        <v>585.91489743797638</v>
      </c>
      <c r="X164" s="378"/>
      <c r="Y164" s="369"/>
      <c r="Z164" s="371">
        <f t="shared" si="8"/>
        <v>1.25002E-2</v>
      </c>
      <c r="AA164" s="371">
        <f t="shared" si="9"/>
        <v>3.7585800000000001E-3</v>
      </c>
      <c r="AB164" s="372" t="str">
        <f t="shared" si="10"/>
        <v>N</v>
      </c>
      <c r="AC164" s="337">
        <v>58</v>
      </c>
      <c r="AD164" s="334"/>
      <c r="AE164" s="334"/>
      <c r="AF164" s="334"/>
      <c r="AG164" s="334"/>
      <c r="AH164" s="333"/>
      <c r="AI164" s="334"/>
      <c r="AJ164" s="365"/>
      <c r="AK164" s="366">
        <f t="shared" si="11"/>
        <v>57.5</v>
      </c>
      <c r="AL164" s="367">
        <f t="shared" si="16"/>
        <v>3072.7937462417312</v>
      </c>
      <c r="AM164" s="378"/>
      <c r="AN164" s="369"/>
      <c r="AO164" s="371">
        <f t="shared" si="12"/>
        <v>1.5634390000000001E-2</v>
      </c>
      <c r="AP164" s="371">
        <f t="shared" si="13"/>
        <v>2.1824399999999999E-3</v>
      </c>
      <c r="AQ164" s="372" t="str">
        <f t="shared" si="14"/>
        <v>N</v>
      </c>
      <c r="AR164" s="337">
        <v>58</v>
      </c>
      <c r="AS164" s="334"/>
      <c r="AT164" s="334"/>
      <c r="AU164" s="334"/>
      <c r="AV164" s="334"/>
      <c r="AW164" s="321"/>
    </row>
    <row r="165" spans="19:49">
      <c r="S165" s="321"/>
      <c r="T165" s="334"/>
      <c r="U165" s="365"/>
      <c r="V165" s="366">
        <f t="shared" si="7"/>
        <v>58.5</v>
      </c>
      <c r="W165" s="367">
        <f t="shared" si="15"/>
        <v>578.69908077077309</v>
      </c>
      <c r="X165" s="378"/>
      <c r="Y165" s="369"/>
      <c r="Z165" s="371">
        <f t="shared" si="8"/>
        <v>1.231546E-2</v>
      </c>
      <c r="AA165" s="371">
        <f t="shared" si="9"/>
        <v>3.57384E-3</v>
      </c>
      <c r="AB165" s="372" t="str">
        <f t="shared" si="10"/>
        <v>N</v>
      </c>
      <c r="AC165" s="337">
        <v>59</v>
      </c>
      <c r="AD165" s="334"/>
      <c r="AE165" s="334"/>
      <c r="AF165" s="334"/>
      <c r="AG165" s="334"/>
      <c r="AH165" s="333"/>
      <c r="AI165" s="334"/>
      <c r="AJ165" s="365"/>
      <c r="AK165" s="366">
        <f t="shared" si="11"/>
        <v>58.5</v>
      </c>
      <c r="AL165" s="367">
        <f t="shared" si="16"/>
        <v>3025.4920071047954</v>
      </c>
      <c r="AM165" s="378"/>
      <c r="AN165" s="369"/>
      <c r="AO165" s="371">
        <f t="shared" si="12"/>
        <v>1.539372E-2</v>
      </c>
      <c r="AP165" s="371">
        <f t="shared" si="13"/>
        <v>1.94177E-3</v>
      </c>
      <c r="AQ165" s="372" t="str">
        <f t="shared" si="14"/>
        <v>N</v>
      </c>
      <c r="AR165" s="337">
        <v>59</v>
      </c>
      <c r="AS165" s="334"/>
      <c r="AT165" s="334"/>
      <c r="AU165" s="334"/>
      <c r="AV165" s="334"/>
      <c r="AW165" s="321"/>
    </row>
    <row r="166" spans="19:49" ht="15.05" thickBot="1">
      <c r="S166" s="321"/>
      <c r="T166" s="334"/>
      <c r="U166" s="373">
        <f>1+U154</f>
        <v>5</v>
      </c>
      <c r="V166" s="374">
        <f t="shared" si="7"/>
        <v>59.5</v>
      </c>
      <c r="W166" s="367">
        <f t="shared" si="15"/>
        <v>571.67592302136859</v>
      </c>
      <c r="X166" s="375">
        <f>SUM(W155:W166)</f>
        <v>7370.554440278429</v>
      </c>
      <c r="Y166" s="376">
        <f>-(X166/X154-1)</f>
        <v>0.16181793519472365</v>
      </c>
      <c r="Z166" s="371">
        <f t="shared" si="8"/>
        <v>1.213611E-2</v>
      </c>
      <c r="AA166" s="371">
        <f t="shared" si="9"/>
        <v>3.39449E-3</v>
      </c>
      <c r="AB166" s="372" t="str">
        <f t="shared" si="10"/>
        <v>N</v>
      </c>
      <c r="AC166" s="337">
        <v>60</v>
      </c>
      <c r="AD166" s="334"/>
      <c r="AE166" s="334"/>
      <c r="AF166" s="334"/>
      <c r="AG166" s="334"/>
      <c r="AH166" s="333"/>
      <c r="AI166" s="334"/>
      <c r="AJ166" s="373">
        <f>1+AJ154</f>
        <v>5</v>
      </c>
      <c r="AK166" s="374">
        <f t="shared" si="11"/>
        <v>59.5</v>
      </c>
      <c r="AL166" s="367">
        <f t="shared" si="16"/>
        <v>2979.6244897959182</v>
      </c>
      <c r="AM166" s="375">
        <f>SUM(AL155:AL166)</f>
        <v>39135.965428761789</v>
      </c>
      <c r="AN166" s="376">
        <f>-(AM166/AM154-1)</f>
        <v>0.19994185605352643</v>
      </c>
      <c r="AO166" s="371">
        <f t="shared" si="12"/>
        <v>1.516034E-2</v>
      </c>
      <c r="AP166" s="371">
        <f t="shared" si="13"/>
        <v>1.70839E-3</v>
      </c>
      <c r="AQ166" s="372" t="str">
        <f t="shared" si="14"/>
        <v>N</v>
      </c>
      <c r="AR166" s="337">
        <v>60</v>
      </c>
      <c r="AS166" s="334"/>
      <c r="AT166" s="334"/>
      <c r="AU166" s="334"/>
      <c r="AV166" s="334"/>
      <c r="AW166" s="321"/>
    </row>
    <row r="167" spans="19:49">
      <c r="S167" s="321"/>
      <c r="T167" s="334"/>
      <c r="U167" s="365"/>
      <c r="V167" s="366">
        <f t="shared" si="7"/>
        <v>60.5</v>
      </c>
      <c r="W167" s="377">
        <f t="shared" si="15"/>
        <v>564.83758861175966</v>
      </c>
      <c r="X167" s="378"/>
      <c r="Y167" s="369"/>
      <c r="Z167" s="371">
        <f t="shared" si="8"/>
        <v>1.1961899999999999E-2</v>
      </c>
      <c r="AA167" s="371">
        <f t="shared" si="9"/>
        <v>3.2202799999999998E-3</v>
      </c>
      <c r="AB167" s="372" t="str">
        <f t="shared" si="10"/>
        <v>N</v>
      </c>
      <c r="AC167" s="337">
        <v>61</v>
      </c>
      <c r="AD167" s="334"/>
      <c r="AE167" s="334"/>
      <c r="AF167" s="334"/>
      <c r="AG167" s="334"/>
      <c r="AH167" s="333"/>
      <c r="AI167" s="334"/>
      <c r="AJ167" s="365"/>
      <c r="AK167" s="366">
        <f t="shared" si="11"/>
        <v>60.5</v>
      </c>
      <c r="AL167" s="377">
        <f t="shared" si="16"/>
        <v>2935.1269385410683</v>
      </c>
      <c r="AM167" s="378"/>
      <c r="AN167" s="369"/>
      <c r="AO167" s="371">
        <f t="shared" si="12"/>
        <v>1.493394E-2</v>
      </c>
      <c r="AP167" s="371">
        <f t="shared" si="13"/>
        <v>1.4819900000000001E-3</v>
      </c>
      <c r="AQ167" s="372" t="str">
        <f t="shared" si="14"/>
        <v>N</v>
      </c>
      <c r="AR167" s="337">
        <v>61</v>
      </c>
      <c r="AS167" s="334"/>
      <c r="AT167" s="334"/>
      <c r="AU167" s="334"/>
      <c r="AV167" s="334"/>
      <c r="AW167" s="321"/>
    </row>
    <row r="168" spans="19:49">
      <c r="S168" s="321"/>
      <c r="T168" s="334"/>
      <c r="U168" s="365"/>
      <c r="V168" s="366">
        <f t="shared" si="7"/>
        <v>61.5</v>
      </c>
      <c r="W168" s="367">
        <f t="shared" si="15"/>
        <v>558.17666701722715</v>
      </c>
      <c r="X168" s="378"/>
      <c r="Y168" s="369"/>
      <c r="Z168" s="371">
        <f t="shared" si="8"/>
        <v>1.179263E-2</v>
      </c>
      <c r="AA168" s="371">
        <f t="shared" si="9"/>
        <v>3.0510099999999998E-3</v>
      </c>
      <c r="AB168" s="372" t="str">
        <f t="shared" si="10"/>
        <v>N</v>
      </c>
      <c r="AC168" s="337">
        <v>62</v>
      </c>
      <c r="AD168" s="334"/>
      <c r="AE168" s="334"/>
      <c r="AF168" s="334"/>
      <c r="AG168" s="334"/>
      <c r="AH168" s="333"/>
      <c r="AI168" s="334"/>
      <c r="AJ168" s="365"/>
      <c r="AK168" s="366">
        <f t="shared" si="11"/>
        <v>61.5</v>
      </c>
      <c r="AL168" s="367">
        <f t="shared" si="16"/>
        <v>2891.9388794567062</v>
      </c>
      <c r="AM168" s="378"/>
      <c r="AN168" s="369"/>
      <c r="AO168" s="371">
        <f t="shared" si="12"/>
        <v>1.47142E-2</v>
      </c>
      <c r="AP168" s="371">
        <f t="shared" si="13"/>
        <v>1.2622499999999999E-3</v>
      </c>
      <c r="AQ168" s="372" t="str">
        <f t="shared" si="14"/>
        <v>N</v>
      </c>
      <c r="AR168" s="337">
        <v>62</v>
      </c>
      <c r="AS168" s="334"/>
      <c r="AT168" s="334"/>
      <c r="AU168" s="334"/>
      <c r="AV168" s="334"/>
      <c r="AW168" s="321"/>
    </row>
    <row r="169" spans="19:49">
      <c r="S169" s="321"/>
      <c r="T169" s="334"/>
      <c r="U169" s="365"/>
      <c r="V169" s="366">
        <f t="shared" si="7"/>
        <v>62.5</v>
      </c>
      <c r="W169" s="367">
        <f t="shared" si="15"/>
        <v>551.68614409920076</v>
      </c>
      <c r="X169" s="378"/>
      <c r="Y169" s="369"/>
      <c r="Z169" s="371">
        <f t="shared" si="8"/>
        <v>1.1628070000000001E-2</v>
      </c>
      <c r="AA169" s="371">
        <f t="shared" si="9"/>
        <v>2.88645E-3</v>
      </c>
      <c r="AB169" s="372" t="str">
        <f t="shared" si="10"/>
        <v>N</v>
      </c>
      <c r="AC169" s="337">
        <v>63</v>
      </c>
      <c r="AD169" s="334"/>
      <c r="AE169" s="334"/>
      <c r="AF169" s="334"/>
      <c r="AG169" s="334"/>
      <c r="AH169" s="333"/>
      <c r="AI169" s="334"/>
      <c r="AJ169" s="365"/>
      <c r="AK169" s="366">
        <f t="shared" si="11"/>
        <v>62.5</v>
      </c>
      <c r="AL169" s="367">
        <f t="shared" si="16"/>
        <v>2850.0033463469049</v>
      </c>
      <c r="AM169" s="378"/>
      <c r="AN169" s="369"/>
      <c r="AO169" s="371">
        <f t="shared" si="12"/>
        <v>1.4500829999999999E-2</v>
      </c>
      <c r="AP169" s="371">
        <f t="shared" si="13"/>
        <v>1.0488800000000001E-3</v>
      </c>
      <c r="AQ169" s="372" t="str">
        <f t="shared" si="14"/>
        <v>N</v>
      </c>
      <c r="AR169" s="337">
        <v>63</v>
      </c>
      <c r="AS169" s="334"/>
      <c r="AT169" s="334"/>
      <c r="AU169" s="334"/>
      <c r="AV169" s="334"/>
      <c r="AW169" s="321"/>
    </row>
    <row r="170" spans="19:49">
      <c r="S170" s="321"/>
      <c r="T170" s="334"/>
      <c r="U170" s="365"/>
      <c r="V170" s="366">
        <f t="shared" si="7"/>
        <v>63.5</v>
      </c>
      <c r="W170" s="367">
        <f t="shared" si="15"/>
        <v>545.35937573944886</v>
      </c>
      <c r="X170" s="378"/>
      <c r="Y170" s="369"/>
      <c r="Z170" s="371">
        <f t="shared" si="8"/>
        <v>1.146805E-2</v>
      </c>
      <c r="AA170" s="371">
        <f t="shared" si="9"/>
        <v>2.7264300000000002E-3</v>
      </c>
      <c r="AB170" s="372" t="str">
        <f t="shared" si="10"/>
        <v>N</v>
      </c>
      <c r="AC170" s="337">
        <v>64</v>
      </c>
      <c r="AD170" s="334"/>
      <c r="AE170" s="334"/>
      <c r="AF170" s="334"/>
      <c r="AG170" s="334"/>
      <c r="AH170" s="333"/>
      <c r="AI170" s="334"/>
      <c r="AJ170" s="365"/>
      <c r="AK170" s="366">
        <f t="shared" si="11"/>
        <v>63.5</v>
      </c>
      <c r="AL170" s="367">
        <f t="shared" si="16"/>
        <v>2809.2666300164924</v>
      </c>
      <c r="AM170" s="378"/>
      <c r="AN170" s="369"/>
      <c r="AO170" s="371">
        <f t="shared" si="12"/>
        <v>1.429356E-2</v>
      </c>
      <c r="AP170" s="371">
        <f t="shared" si="13"/>
        <v>8.4161000000000001E-4</v>
      </c>
      <c r="AQ170" s="372" t="str">
        <f t="shared" si="14"/>
        <v>N</v>
      </c>
      <c r="AR170" s="337">
        <v>64</v>
      </c>
      <c r="AS170" s="334"/>
      <c r="AT170" s="334"/>
      <c r="AU170" s="334"/>
      <c r="AV170" s="334"/>
      <c r="AW170" s="321"/>
    </row>
    <row r="171" spans="19:49">
      <c r="S171" s="321"/>
      <c r="T171" s="334"/>
      <c r="U171" s="365"/>
      <c r="V171" s="366">
        <f t="shared" si="7"/>
        <v>64.5</v>
      </c>
      <c r="W171" s="367">
        <f t="shared" si="15"/>
        <v>539.19006356211798</v>
      </c>
      <c r="X171" s="378"/>
      <c r="Y171" s="369"/>
      <c r="Z171" s="371">
        <f t="shared" si="8"/>
        <v>1.131237E-2</v>
      </c>
      <c r="AA171" s="371">
        <f t="shared" si="9"/>
        <v>2.5707500000000001E-3</v>
      </c>
      <c r="AB171" s="372" t="str">
        <f t="shared" si="10"/>
        <v>N</v>
      </c>
      <c r="AC171" s="337">
        <v>65</v>
      </c>
      <c r="AD171" s="334"/>
      <c r="AE171" s="334"/>
      <c r="AF171" s="334"/>
      <c r="AG171" s="334"/>
      <c r="AH171" s="333"/>
      <c r="AI171" s="334"/>
      <c r="AJ171" s="365"/>
      <c r="AK171" s="366">
        <f t="shared" si="11"/>
        <v>64.5</v>
      </c>
      <c r="AL171" s="367">
        <f t="shared" si="16"/>
        <v>2769.6780487804876</v>
      </c>
      <c r="AM171" s="378"/>
      <c r="AN171" s="369"/>
      <c r="AO171" s="371">
        <f t="shared" si="12"/>
        <v>1.409214E-2</v>
      </c>
      <c r="AP171" s="371">
        <f t="shared" si="13"/>
        <v>6.4019000000000001E-4</v>
      </c>
      <c r="AQ171" s="372" t="str">
        <f t="shared" si="14"/>
        <v>N</v>
      </c>
      <c r="AR171" s="337">
        <v>65</v>
      </c>
      <c r="AS171" s="334"/>
      <c r="AT171" s="334"/>
      <c r="AU171" s="334"/>
      <c r="AV171" s="334"/>
      <c r="AW171" s="321"/>
    </row>
    <row r="172" spans="19:49">
      <c r="S172" s="321"/>
      <c r="T172" s="334"/>
      <c r="U172" s="365"/>
      <c r="V172" s="366">
        <f t="shared" ref="V172:V235" si="17">1+V171</f>
        <v>65.5</v>
      </c>
      <c r="W172" s="367">
        <f t="shared" si="15"/>
        <v>533.1722325525385</v>
      </c>
      <c r="X172" s="378"/>
      <c r="Y172" s="369"/>
      <c r="Z172" s="371">
        <f t="shared" ref="Z172:Z235" si="18">TRUNC(1-(W172/W171),8)</f>
        <v>1.116087E-2</v>
      </c>
      <c r="AA172" s="371">
        <f t="shared" ref="AA172:AA235" si="19">TRUNC(Z172-(1-(1-(W$69/100))^(1/12)),8)</f>
        <v>2.41925E-3</v>
      </c>
      <c r="AB172" s="372" t="str">
        <f t="shared" ref="AB172:AB235" si="20">IF(AA172&lt;0,"Y","N")</f>
        <v>N</v>
      </c>
      <c r="AC172" s="337">
        <v>66</v>
      </c>
      <c r="AD172" s="334"/>
      <c r="AE172" s="334"/>
      <c r="AF172" s="334"/>
      <c r="AG172" s="334"/>
      <c r="AH172" s="333"/>
      <c r="AI172" s="334"/>
      <c r="AJ172" s="365"/>
      <c r="AK172" s="366">
        <f t="shared" ref="AK172:AK235" si="21">1+AK171</f>
        <v>65.5</v>
      </c>
      <c r="AL172" s="367">
        <f t="shared" si="16"/>
        <v>2731.1897381079639</v>
      </c>
      <c r="AM172" s="378"/>
      <c r="AN172" s="369"/>
      <c r="AO172" s="371">
        <f t="shared" ref="AO172:AO235" si="22">TRUNC(1-(AL172/AL171),8)</f>
        <v>1.389631E-2</v>
      </c>
      <c r="AP172" s="371">
        <f t="shared" ref="AP172:AP235" si="23">TRUNC(AO172-(1-(1-(AL$69/100))^(1/12)),8)</f>
        <v>4.4435999999999998E-4</v>
      </c>
      <c r="AQ172" s="372" t="str">
        <f t="shared" ref="AQ172:AQ235" si="24">IF(AP172&lt;0,"Y","N")</f>
        <v>N</v>
      </c>
      <c r="AR172" s="337">
        <v>66</v>
      </c>
      <c r="AS172" s="334"/>
      <c r="AT172" s="334"/>
      <c r="AU172" s="334"/>
      <c r="AV172" s="334"/>
      <c r="AW172" s="321"/>
    </row>
    <row r="173" spans="19:49">
      <c r="S173" s="321"/>
      <c r="T173" s="334"/>
      <c r="U173" s="365"/>
      <c r="V173" s="366">
        <f t="shared" si="17"/>
        <v>66.5</v>
      </c>
      <c r="W173" s="367">
        <f t="shared" ref="W173:W236" si="25">IF(AA172&lt;=0,AF$66*(1-(dt/100))^((V173-AF$67)/12),AE$65/((1+(V173/12)*((1-W$67/100)^(-W$68)-1)))^(1/W$68))</f>
        <v>527.3002104014995</v>
      </c>
      <c r="X173" s="378"/>
      <c r="Y173" s="369"/>
      <c r="Z173" s="371">
        <f t="shared" si="18"/>
        <v>1.101336E-2</v>
      </c>
      <c r="AA173" s="371">
        <f t="shared" si="19"/>
        <v>2.27174E-3</v>
      </c>
      <c r="AB173" s="372" t="str">
        <f t="shared" si="20"/>
        <v>N</v>
      </c>
      <c r="AC173" s="337">
        <v>67</v>
      </c>
      <c r="AD173" s="334"/>
      <c r="AE173" s="334"/>
      <c r="AF173" s="334"/>
      <c r="AG173" s="334"/>
      <c r="AH173" s="333"/>
      <c r="AI173" s="334"/>
      <c r="AJ173" s="365"/>
      <c r="AK173" s="366">
        <f t="shared" si="21"/>
        <v>66.5</v>
      </c>
      <c r="AL173" s="367">
        <f t="shared" ref="AL173:AL236" si="26">IF(AP172&lt;=0,AU$66*(1-(AL$69/100))^((AK173-AU$67)/12),AT$65/((1+(AK173/12)*((1-AL$67/100)^(-AL$68)-1)))^(1/AL$68))</f>
        <v>2693.7564575645752</v>
      </c>
      <c r="AM173" s="378"/>
      <c r="AN173" s="369"/>
      <c r="AO173" s="371">
        <f t="shared" si="22"/>
        <v>1.370585E-2</v>
      </c>
      <c r="AP173" s="371">
        <f t="shared" si="23"/>
        <v>2.5389999999999999E-4</v>
      </c>
      <c r="AQ173" s="372" t="str">
        <f t="shared" si="24"/>
        <v>N</v>
      </c>
      <c r="AR173" s="337">
        <v>67</v>
      </c>
      <c r="AS173" s="334"/>
      <c r="AT173" s="334"/>
      <c r="AU173" s="334"/>
      <c r="AV173" s="334"/>
      <c r="AW173" s="321"/>
    </row>
    <row r="174" spans="19:49">
      <c r="S174" s="321"/>
      <c r="T174" s="334"/>
      <c r="U174" s="365"/>
      <c r="V174" s="366">
        <f t="shared" si="17"/>
        <v>67.5</v>
      </c>
      <c r="W174" s="367">
        <f t="shared" si="25"/>
        <v>521.56860842119681</v>
      </c>
      <c r="X174" s="378"/>
      <c r="Y174" s="369"/>
      <c r="Z174" s="371">
        <f t="shared" si="18"/>
        <v>1.0869709999999999E-2</v>
      </c>
      <c r="AA174" s="371">
        <f t="shared" si="19"/>
        <v>2.12809E-3</v>
      </c>
      <c r="AB174" s="372" t="str">
        <f t="shared" si="20"/>
        <v>N</v>
      </c>
      <c r="AC174" s="337">
        <v>68</v>
      </c>
      <c r="AD174" s="334"/>
      <c r="AE174" s="334"/>
      <c r="AF174" s="334"/>
      <c r="AG174" s="334"/>
      <c r="AH174" s="333"/>
      <c r="AI174" s="334"/>
      <c r="AJ174" s="365"/>
      <c r="AK174" s="366">
        <f t="shared" si="21"/>
        <v>67.5</v>
      </c>
      <c r="AL174" s="367">
        <f t="shared" si="26"/>
        <v>2657.3354134165365</v>
      </c>
      <c r="AM174" s="378"/>
      <c r="AN174" s="369"/>
      <c r="AO174" s="371">
        <f t="shared" si="22"/>
        <v>1.3520539999999999E-2</v>
      </c>
      <c r="AP174" s="371">
        <f t="shared" si="23"/>
        <v>6.8590000000000006E-5</v>
      </c>
      <c r="AQ174" s="372" t="str">
        <f t="shared" si="24"/>
        <v>N</v>
      </c>
      <c r="AR174" s="337">
        <v>68</v>
      </c>
      <c r="AS174" s="334"/>
      <c r="AT174" s="334"/>
      <c r="AU174" s="334"/>
      <c r="AV174" s="334"/>
      <c r="AW174" s="321"/>
    </row>
    <row r="175" spans="19:49">
      <c r="S175" s="321"/>
      <c r="T175" s="334"/>
      <c r="U175" s="365"/>
      <c r="V175" s="366">
        <f t="shared" si="17"/>
        <v>68.5</v>
      </c>
      <c r="W175" s="367">
        <f t="shared" si="25"/>
        <v>515.97230389456536</v>
      </c>
      <c r="X175" s="378"/>
      <c r="Y175" s="369"/>
      <c r="Z175" s="371">
        <f t="shared" si="18"/>
        <v>1.072975E-2</v>
      </c>
      <c r="AA175" s="371">
        <f t="shared" si="19"/>
        <v>1.9881299999999998E-3</v>
      </c>
      <c r="AB175" s="372" t="str">
        <f t="shared" si="20"/>
        <v>N</v>
      </c>
      <c r="AC175" s="337">
        <v>69</v>
      </c>
      <c r="AD175" s="334"/>
      <c r="AE175" s="334"/>
      <c r="AF175" s="334"/>
      <c r="AG175" s="334"/>
      <c r="AH175" s="333"/>
      <c r="AI175" s="334"/>
      <c r="AJ175" s="365"/>
      <c r="AK175" s="366">
        <f t="shared" si="21"/>
        <v>68.5</v>
      </c>
      <c r="AL175" s="367">
        <f t="shared" si="26"/>
        <v>2621.8860954335555</v>
      </c>
      <c r="AM175" s="378"/>
      <c r="AN175" s="369"/>
      <c r="AO175" s="371">
        <f t="shared" si="22"/>
        <v>1.334017E-2</v>
      </c>
      <c r="AP175" s="371">
        <f t="shared" si="23"/>
        <v>-1.1177E-4</v>
      </c>
      <c r="AQ175" s="372" t="str">
        <f t="shared" si="24"/>
        <v>Y</v>
      </c>
      <c r="AR175" s="337">
        <v>69</v>
      </c>
      <c r="AS175" s="334"/>
      <c r="AT175" s="334"/>
      <c r="AU175" s="334"/>
      <c r="AV175" s="334"/>
      <c r="AW175" s="321"/>
    </row>
    <row r="176" spans="19:49">
      <c r="S176" s="321"/>
      <c r="T176" s="334"/>
      <c r="U176" s="365"/>
      <c r="V176" s="366">
        <f t="shared" si="17"/>
        <v>69.5</v>
      </c>
      <c r="W176" s="367">
        <f t="shared" si="25"/>
        <v>510.50642373349115</v>
      </c>
      <c r="X176" s="378"/>
      <c r="Y176" s="369"/>
      <c r="Z176" s="371">
        <f t="shared" si="18"/>
        <v>1.059335E-2</v>
      </c>
      <c r="AA176" s="371">
        <f t="shared" si="19"/>
        <v>1.85173E-3</v>
      </c>
      <c r="AB176" s="372" t="str">
        <f t="shared" si="20"/>
        <v>N</v>
      </c>
      <c r="AC176" s="337">
        <v>70</v>
      </c>
      <c r="AD176" s="334"/>
      <c r="AE176" s="334"/>
      <c r="AF176" s="334"/>
      <c r="AG176" s="334"/>
      <c r="AH176" s="333"/>
      <c r="AI176" s="334"/>
      <c r="AJ176" s="365"/>
      <c r="AK176" s="366">
        <f t="shared" si="21"/>
        <v>69.5</v>
      </c>
      <c r="AL176" s="367">
        <f t="shared" si="26"/>
        <v>2604.1916513631677</v>
      </c>
      <c r="AM176" s="378"/>
      <c r="AN176" s="369"/>
      <c r="AO176" s="371">
        <f t="shared" si="22"/>
        <v>6.7487399999999996E-3</v>
      </c>
      <c r="AP176" s="371">
        <f t="shared" si="23"/>
        <v>-6.7032000000000003E-3</v>
      </c>
      <c r="AQ176" s="372" t="str">
        <f t="shared" si="24"/>
        <v>Y</v>
      </c>
      <c r="AR176" s="337">
        <v>70</v>
      </c>
      <c r="AS176" s="334"/>
      <c r="AT176" s="334"/>
      <c r="AU176" s="334"/>
      <c r="AV176" s="334"/>
      <c r="AW176" s="321"/>
    </row>
    <row r="177" spans="19:49">
      <c r="S177" s="321"/>
      <c r="T177" s="334"/>
      <c r="U177" s="365"/>
      <c r="V177" s="366">
        <f t="shared" si="17"/>
        <v>70.5</v>
      </c>
      <c r="W177" s="367">
        <f t="shared" si="25"/>
        <v>505.16632933362314</v>
      </c>
      <c r="X177" s="378"/>
      <c r="Y177" s="369"/>
      <c r="Z177" s="371">
        <f t="shared" si="18"/>
        <v>1.046038E-2</v>
      </c>
      <c r="AA177" s="371">
        <f t="shared" si="19"/>
        <v>1.7187599999999999E-3</v>
      </c>
      <c r="AB177" s="372" t="str">
        <f t="shared" si="20"/>
        <v>N</v>
      </c>
      <c r="AC177" s="337">
        <v>71</v>
      </c>
      <c r="AD177" s="334"/>
      <c r="AE177" s="334"/>
      <c r="AF177" s="334"/>
      <c r="AG177" s="334"/>
      <c r="AH177" s="333"/>
      <c r="AI177" s="334"/>
      <c r="AJ177" s="365"/>
      <c r="AK177" s="366">
        <f t="shared" si="21"/>
        <v>70.5</v>
      </c>
      <c r="AL177" s="367">
        <f t="shared" si="26"/>
        <v>2569.1602032602791</v>
      </c>
      <c r="AM177" s="378"/>
      <c r="AN177" s="369"/>
      <c r="AO177" s="371">
        <f t="shared" si="22"/>
        <v>1.3451940000000001E-2</v>
      </c>
      <c r="AP177" s="371">
        <f t="shared" si="23"/>
        <v>0</v>
      </c>
      <c r="AQ177" s="372" t="str">
        <f t="shared" si="24"/>
        <v>N</v>
      </c>
      <c r="AR177" s="337">
        <v>71</v>
      </c>
      <c r="AS177" s="334"/>
      <c r="AT177" s="334"/>
      <c r="AU177" s="334"/>
      <c r="AV177" s="334"/>
      <c r="AW177" s="321"/>
    </row>
    <row r="178" spans="19:49" ht="15.05" thickBot="1">
      <c r="S178" s="321"/>
      <c r="T178" s="334"/>
      <c r="U178" s="373">
        <f>1+U166</f>
        <v>6</v>
      </c>
      <c r="V178" s="374">
        <f t="shared" si="17"/>
        <v>71.5</v>
      </c>
      <c r="W178" s="367">
        <f t="shared" si="25"/>
        <v>499.94760252442251</v>
      </c>
      <c r="X178" s="375">
        <f>SUM(W167:W178)</f>
        <v>6372.8835498910903</v>
      </c>
      <c r="Y178" s="376">
        <f>-(X178/X166-1)</f>
        <v>0.13535900161530467</v>
      </c>
      <c r="Z178" s="371">
        <f t="shared" si="18"/>
        <v>1.03307E-2</v>
      </c>
      <c r="AA178" s="371">
        <f t="shared" si="19"/>
        <v>1.5890800000000001E-3</v>
      </c>
      <c r="AB178" s="372" t="str">
        <f t="shared" si="20"/>
        <v>N</v>
      </c>
      <c r="AC178" s="337">
        <v>72</v>
      </c>
      <c r="AD178" s="334"/>
      <c r="AE178" s="334"/>
      <c r="AF178" s="334"/>
      <c r="AG178" s="334"/>
      <c r="AH178" s="333"/>
      <c r="AI178" s="334"/>
      <c r="AJ178" s="373">
        <f>1+AJ166</f>
        <v>6</v>
      </c>
      <c r="AK178" s="374">
        <f t="shared" si="21"/>
        <v>71.5</v>
      </c>
      <c r="AL178" s="367">
        <f t="shared" si="26"/>
        <v>2534.5999963410195</v>
      </c>
      <c r="AM178" s="375">
        <f>SUM(AL167:AL178)</f>
        <v>32668.13339862875</v>
      </c>
      <c r="AN178" s="376">
        <f>-(AM178/AM166-1)</f>
        <v>0.16526568232758354</v>
      </c>
      <c r="AO178" s="371">
        <f t="shared" si="22"/>
        <v>1.3451940000000001E-2</v>
      </c>
      <c r="AP178" s="371">
        <f t="shared" si="23"/>
        <v>0</v>
      </c>
      <c r="AQ178" s="372" t="str">
        <f t="shared" si="24"/>
        <v>N</v>
      </c>
      <c r="AR178" s="337">
        <v>72</v>
      </c>
      <c r="AS178" s="334"/>
      <c r="AT178" s="334"/>
      <c r="AU178" s="334"/>
      <c r="AV178" s="334"/>
      <c r="AW178" s="321"/>
    </row>
    <row r="179" spans="19:49">
      <c r="S179" s="321"/>
      <c r="T179" s="334"/>
      <c r="U179" s="365"/>
      <c r="V179" s="366">
        <f t="shared" si="17"/>
        <v>72.5</v>
      </c>
      <c r="W179" s="377">
        <f t="shared" si="25"/>
        <v>494.84603252280334</v>
      </c>
      <c r="X179" s="378"/>
      <c r="Y179" s="369"/>
      <c r="Z179" s="371">
        <f t="shared" si="18"/>
        <v>1.02042E-2</v>
      </c>
      <c r="AA179" s="371">
        <f t="shared" si="19"/>
        <v>1.46258E-3</v>
      </c>
      <c r="AB179" s="372" t="str">
        <f t="shared" si="20"/>
        <v>N</v>
      </c>
      <c r="AC179" s="337">
        <v>73</v>
      </c>
      <c r="AD179" s="334"/>
      <c r="AE179" s="334"/>
      <c r="AF179" s="334"/>
      <c r="AG179" s="334"/>
      <c r="AH179" s="333"/>
      <c r="AI179" s="334"/>
      <c r="AJ179" s="365"/>
      <c r="AK179" s="366">
        <f t="shared" si="21"/>
        <v>72.5</v>
      </c>
      <c r="AL179" s="377">
        <f t="shared" si="26"/>
        <v>2500.5046914939567</v>
      </c>
      <c r="AM179" s="378"/>
      <c r="AN179" s="369"/>
      <c r="AO179" s="371">
        <f t="shared" si="22"/>
        <v>1.3451940000000001E-2</v>
      </c>
      <c r="AP179" s="371">
        <f t="shared" si="23"/>
        <v>0</v>
      </c>
      <c r="AQ179" s="372" t="str">
        <f t="shared" si="24"/>
        <v>N</v>
      </c>
      <c r="AR179" s="337">
        <v>73</v>
      </c>
      <c r="AS179" s="334"/>
      <c r="AT179" s="334"/>
      <c r="AU179" s="334"/>
      <c r="AV179" s="334"/>
      <c r="AW179" s="321"/>
    </row>
    <row r="180" spans="19:49">
      <c r="S180" s="321"/>
      <c r="T180" s="334"/>
      <c r="U180" s="365"/>
      <c r="V180" s="366">
        <f t="shared" si="17"/>
        <v>73.5</v>
      </c>
      <c r="W180" s="367">
        <f t="shared" si="25"/>
        <v>489.85760380740481</v>
      </c>
      <c r="X180" s="378"/>
      <c r="Y180" s="369"/>
      <c r="Z180" s="371">
        <f t="shared" si="18"/>
        <v>1.0080759999999999E-2</v>
      </c>
      <c r="AA180" s="371">
        <f t="shared" si="19"/>
        <v>1.3391399999999999E-3</v>
      </c>
      <c r="AB180" s="372" t="str">
        <f t="shared" si="20"/>
        <v>N</v>
      </c>
      <c r="AC180" s="337">
        <v>74</v>
      </c>
      <c r="AD180" s="334"/>
      <c r="AE180" s="334"/>
      <c r="AF180" s="334"/>
      <c r="AG180" s="334"/>
      <c r="AH180" s="333"/>
      <c r="AI180" s="334"/>
      <c r="AJ180" s="365"/>
      <c r="AK180" s="366">
        <f t="shared" si="21"/>
        <v>73.5</v>
      </c>
      <c r="AL180" s="367">
        <f t="shared" si="26"/>
        <v>2466.8680348810503</v>
      </c>
      <c r="AM180" s="378"/>
      <c r="AN180" s="369"/>
      <c r="AO180" s="371">
        <f t="shared" si="22"/>
        <v>1.3451940000000001E-2</v>
      </c>
      <c r="AP180" s="371">
        <f t="shared" si="23"/>
        <v>0</v>
      </c>
      <c r="AQ180" s="372" t="str">
        <f t="shared" si="24"/>
        <v>N</v>
      </c>
      <c r="AR180" s="337">
        <v>74</v>
      </c>
      <c r="AS180" s="334"/>
      <c r="AT180" s="334"/>
      <c r="AU180" s="334"/>
      <c r="AV180" s="334"/>
      <c r="AW180" s="321"/>
    </row>
    <row r="181" spans="19:49">
      <c r="S181" s="321"/>
      <c r="T181" s="334"/>
      <c r="U181" s="365"/>
      <c r="V181" s="366">
        <f t="shared" si="17"/>
        <v>74.5</v>
      </c>
      <c r="W181" s="367">
        <f t="shared" si="25"/>
        <v>484.97848483830109</v>
      </c>
      <c r="X181" s="378"/>
      <c r="Y181" s="369"/>
      <c r="Z181" s="371">
        <f t="shared" si="18"/>
        <v>9.9602800000000002E-3</v>
      </c>
      <c r="AA181" s="371">
        <f t="shared" si="19"/>
        <v>1.2186600000000001E-3</v>
      </c>
      <c r="AB181" s="372" t="str">
        <f t="shared" si="20"/>
        <v>N</v>
      </c>
      <c r="AC181" s="337">
        <v>75</v>
      </c>
      <c r="AD181" s="334"/>
      <c r="AE181" s="334"/>
      <c r="AF181" s="334"/>
      <c r="AG181" s="334"/>
      <c r="AH181" s="333"/>
      <c r="AI181" s="334"/>
      <c r="AJ181" s="365"/>
      <c r="AK181" s="366">
        <f t="shared" si="21"/>
        <v>74.5</v>
      </c>
      <c r="AL181" s="367">
        <f t="shared" si="26"/>
        <v>2433.6838567905575</v>
      </c>
      <c r="AM181" s="378"/>
      <c r="AN181" s="369"/>
      <c r="AO181" s="371">
        <f t="shared" si="22"/>
        <v>1.3451940000000001E-2</v>
      </c>
      <c r="AP181" s="371">
        <f t="shared" si="23"/>
        <v>0</v>
      </c>
      <c r="AQ181" s="372" t="str">
        <f t="shared" si="24"/>
        <v>N</v>
      </c>
      <c r="AR181" s="337">
        <v>75</v>
      </c>
      <c r="AS181" s="334"/>
      <c r="AT181" s="334"/>
      <c r="AU181" s="334"/>
      <c r="AV181" s="334"/>
      <c r="AW181" s="321"/>
    </row>
    <row r="182" spans="19:49">
      <c r="S182" s="321"/>
      <c r="T182" s="334"/>
      <c r="U182" s="365"/>
      <c r="V182" s="366">
        <f t="shared" si="17"/>
        <v>75.5</v>
      </c>
      <c r="W182" s="367">
        <f t="shared" si="25"/>
        <v>480.20501755391365</v>
      </c>
      <c r="X182" s="378"/>
      <c r="Y182" s="369"/>
      <c r="Z182" s="371">
        <f t="shared" si="18"/>
        <v>9.8426299999999998E-3</v>
      </c>
      <c r="AA182" s="371">
        <f t="shared" si="19"/>
        <v>1.1010099999999999E-3</v>
      </c>
      <c r="AB182" s="372" t="str">
        <f t="shared" si="20"/>
        <v>N</v>
      </c>
      <c r="AC182" s="337">
        <v>76</v>
      </c>
      <c r="AD182" s="334"/>
      <c r="AE182" s="334"/>
      <c r="AF182" s="334"/>
      <c r="AG182" s="334"/>
      <c r="AH182" s="333"/>
      <c r="AI182" s="334"/>
      <c r="AJ182" s="365"/>
      <c r="AK182" s="366">
        <f t="shared" si="21"/>
        <v>75.5</v>
      </c>
      <c r="AL182" s="367">
        <f t="shared" si="26"/>
        <v>2400.9460705053702</v>
      </c>
      <c r="AM182" s="378"/>
      <c r="AN182" s="369"/>
      <c r="AO182" s="371">
        <f t="shared" si="22"/>
        <v>1.3451940000000001E-2</v>
      </c>
      <c r="AP182" s="371">
        <f t="shared" si="23"/>
        <v>0</v>
      </c>
      <c r="AQ182" s="372" t="str">
        <f t="shared" si="24"/>
        <v>N</v>
      </c>
      <c r="AR182" s="337">
        <v>76</v>
      </c>
      <c r="AS182" s="334"/>
      <c r="AT182" s="334"/>
      <c r="AU182" s="334"/>
      <c r="AV182" s="334"/>
      <c r="AW182" s="321"/>
    </row>
    <row r="183" spans="19:49">
      <c r="S183" s="321"/>
      <c r="T183" s="334"/>
      <c r="U183" s="365"/>
      <c r="V183" s="366">
        <f t="shared" si="17"/>
        <v>76.5</v>
      </c>
      <c r="W183" s="367">
        <f t="shared" si="25"/>
        <v>475.53370758313127</v>
      </c>
      <c r="X183" s="378"/>
      <c r="Y183" s="369"/>
      <c r="Z183" s="371">
        <f t="shared" si="18"/>
        <v>9.7277400000000003E-3</v>
      </c>
      <c r="AA183" s="371">
        <f t="shared" si="19"/>
        <v>9.8612000000000005E-4</v>
      </c>
      <c r="AB183" s="372" t="str">
        <f t="shared" si="20"/>
        <v>N</v>
      </c>
      <c r="AC183" s="337">
        <v>77</v>
      </c>
      <c r="AD183" s="334"/>
      <c r="AE183" s="334"/>
      <c r="AF183" s="334"/>
      <c r="AG183" s="334"/>
      <c r="AH183" s="333"/>
      <c r="AI183" s="334"/>
      <c r="AJ183" s="365"/>
      <c r="AK183" s="366">
        <f t="shared" si="21"/>
        <v>76.5</v>
      </c>
      <c r="AL183" s="367">
        <f t="shared" si="26"/>
        <v>2368.6486711865768</v>
      </c>
      <c r="AM183" s="378"/>
      <c r="AN183" s="369"/>
      <c r="AO183" s="371">
        <f t="shared" si="22"/>
        <v>1.3451940000000001E-2</v>
      </c>
      <c r="AP183" s="371">
        <f t="shared" si="23"/>
        <v>0</v>
      </c>
      <c r="AQ183" s="372" t="str">
        <f t="shared" si="24"/>
        <v>N</v>
      </c>
      <c r="AR183" s="337">
        <v>77</v>
      </c>
      <c r="AS183" s="334"/>
      <c r="AT183" s="334"/>
      <c r="AU183" s="334"/>
      <c r="AV183" s="334"/>
      <c r="AW183" s="321"/>
    </row>
    <row r="184" spans="19:49">
      <c r="S184" s="321"/>
      <c r="T184" s="334"/>
      <c r="U184" s="365"/>
      <c r="V184" s="366">
        <f t="shared" si="17"/>
        <v>77.5</v>
      </c>
      <c r="W184" s="367">
        <f t="shared" si="25"/>
        <v>470.96121511624091</v>
      </c>
      <c r="X184" s="378"/>
      <c r="Y184" s="369"/>
      <c r="Z184" s="371">
        <f t="shared" si="18"/>
        <v>9.6154900000000008E-3</v>
      </c>
      <c r="AA184" s="371">
        <f t="shared" si="19"/>
        <v>8.7387000000000001E-4</v>
      </c>
      <c r="AB184" s="372" t="str">
        <f t="shared" si="20"/>
        <v>N</v>
      </c>
      <c r="AC184" s="337">
        <v>78</v>
      </c>
      <c r="AD184" s="334"/>
      <c r="AE184" s="334"/>
      <c r="AF184" s="334"/>
      <c r="AG184" s="334"/>
      <c r="AH184" s="333"/>
      <c r="AI184" s="334"/>
      <c r="AJ184" s="365"/>
      <c r="AK184" s="366">
        <f t="shared" si="21"/>
        <v>77.5</v>
      </c>
      <c r="AL184" s="367">
        <f t="shared" si="26"/>
        <v>2336.7857347720419</v>
      </c>
      <c r="AM184" s="378"/>
      <c r="AN184" s="369"/>
      <c r="AO184" s="371">
        <f t="shared" si="22"/>
        <v>1.3451940000000001E-2</v>
      </c>
      <c r="AP184" s="371">
        <f t="shared" si="23"/>
        <v>0</v>
      </c>
      <c r="AQ184" s="372" t="str">
        <f t="shared" si="24"/>
        <v>N</v>
      </c>
      <c r="AR184" s="337">
        <v>78</v>
      </c>
      <c r="AS184" s="334"/>
      <c r="AT184" s="334"/>
      <c r="AU184" s="334"/>
      <c r="AV184" s="334"/>
      <c r="AW184" s="321"/>
    </row>
    <row r="185" spans="19:49">
      <c r="S185" s="321"/>
      <c r="T185" s="334"/>
      <c r="U185" s="365"/>
      <c r="V185" s="366">
        <f t="shared" si="17"/>
        <v>78.5</v>
      </c>
      <c r="W185" s="367">
        <f t="shared" si="25"/>
        <v>466.48434638332196</v>
      </c>
      <c r="X185" s="378"/>
      <c r="Y185" s="369"/>
      <c r="Z185" s="371">
        <f t="shared" si="18"/>
        <v>9.50581E-3</v>
      </c>
      <c r="AA185" s="371">
        <f t="shared" si="19"/>
        <v>7.6418999999999999E-4</v>
      </c>
      <c r="AB185" s="372" t="str">
        <f t="shared" si="20"/>
        <v>N</v>
      </c>
      <c r="AC185" s="337">
        <v>79</v>
      </c>
      <c r="AD185" s="334"/>
      <c r="AE185" s="334"/>
      <c r="AF185" s="334"/>
      <c r="AG185" s="334"/>
      <c r="AH185" s="333"/>
      <c r="AI185" s="334"/>
      <c r="AJ185" s="365"/>
      <c r="AK185" s="366">
        <f t="shared" si="21"/>
        <v>78.5</v>
      </c>
      <c r="AL185" s="367">
        <f t="shared" si="26"/>
        <v>2305.3514168897973</v>
      </c>
      <c r="AM185" s="378"/>
      <c r="AN185" s="369"/>
      <c r="AO185" s="371">
        <f t="shared" si="22"/>
        <v>1.3451940000000001E-2</v>
      </c>
      <c r="AP185" s="371">
        <f t="shared" si="23"/>
        <v>0</v>
      </c>
      <c r="AQ185" s="372" t="str">
        <f t="shared" si="24"/>
        <v>N</v>
      </c>
      <c r="AR185" s="337">
        <v>79</v>
      </c>
      <c r="AS185" s="334"/>
      <c r="AT185" s="334"/>
      <c r="AU185" s="334"/>
      <c r="AV185" s="334"/>
      <c r="AW185" s="321"/>
    </row>
    <row r="186" spans="19:49">
      <c r="S186" s="321"/>
      <c r="T186" s="334"/>
      <c r="U186" s="365"/>
      <c r="V186" s="366">
        <f t="shared" si="17"/>
        <v>79.5</v>
      </c>
      <c r="W186" s="367">
        <f t="shared" si="25"/>
        <v>462.10004569328203</v>
      </c>
      <c r="X186" s="378"/>
      <c r="Y186" s="369"/>
      <c r="Z186" s="371">
        <f t="shared" si="18"/>
        <v>9.3986E-3</v>
      </c>
      <c r="AA186" s="371">
        <f t="shared" si="19"/>
        <v>6.5698000000000004E-4</v>
      </c>
      <c r="AB186" s="372" t="str">
        <f t="shared" si="20"/>
        <v>N</v>
      </c>
      <c r="AC186" s="337">
        <v>80</v>
      </c>
      <c r="AD186" s="334"/>
      <c r="AE186" s="334"/>
      <c r="AF186" s="334"/>
      <c r="AG186" s="334"/>
      <c r="AH186" s="333"/>
      <c r="AI186" s="334"/>
      <c r="AJ186" s="365"/>
      <c r="AK186" s="366">
        <f t="shared" si="21"/>
        <v>79.5</v>
      </c>
      <c r="AL186" s="367">
        <f t="shared" si="26"/>
        <v>2274.3399517860585</v>
      </c>
      <c r="AM186" s="378"/>
      <c r="AN186" s="369"/>
      <c r="AO186" s="371">
        <f t="shared" si="22"/>
        <v>1.3451940000000001E-2</v>
      </c>
      <c r="AP186" s="371">
        <f t="shared" si="23"/>
        <v>0</v>
      </c>
      <c r="AQ186" s="372" t="str">
        <f t="shared" si="24"/>
        <v>N</v>
      </c>
      <c r="AR186" s="337">
        <v>80</v>
      </c>
      <c r="AS186" s="334"/>
      <c r="AT186" s="334"/>
      <c r="AU186" s="334"/>
      <c r="AV186" s="334"/>
      <c r="AW186" s="321"/>
    </row>
    <row r="187" spans="19:49">
      <c r="S187" s="321"/>
      <c r="T187" s="334"/>
      <c r="U187" s="365"/>
      <c r="V187" s="366">
        <f t="shared" si="17"/>
        <v>80.5</v>
      </c>
      <c r="W187" s="367">
        <f t="shared" si="25"/>
        <v>457.80538799080972</v>
      </c>
      <c r="X187" s="378"/>
      <c r="Y187" s="369"/>
      <c r="Z187" s="371">
        <f t="shared" si="18"/>
        <v>9.2937799999999997E-3</v>
      </c>
      <c r="AA187" s="371">
        <f t="shared" si="19"/>
        <v>5.5216E-4</v>
      </c>
      <c r="AB187" s="372" t="str">
        <f t="shared" si="20"/>
        <v>N</v>
      </c>
      <c r="AC187" s="337">
        <v>81</v>
      </c>
      <c r="AD187" s="334"/>
      <c r="AE187" s="334"/>
      <c r="AF187" s="334"/>
      <c r="AG187" s="334"/>
      <c r="AH187" s="333"/>
      <c r="AI187" s="334"/>
      <c r="AJ187" s="365"/>
      <c r="AK187" s="366">
        <f t="shared" si="21"/>
        <v>80.5</v>
      </c>
      <c r="AL187" s="367">
        <f t="shared" si="26"/>
        <v>2243.7456512676563</v>
      </c>
      <c r="AM187" s="378"/>
      <c r="AN187" s="369"/>
      <c r="AO187" s="371">
        <f t="shared" si="22"/>
        <v>1.3451940000000001E-2</v>
      </c>
      <c r="AP187" s="371">
        <f t="shared" si="23"/>
        <v>0</v>
      </c>
      <c r="AQ187" s="372" t="str">
        <f t="shared" si="24"/>
        <v>N</v>
      </c>
      <c r="AR187" s="337">
        <v>81</v>
      </c>
      <c r="AS187" s="334"/>
      <c r="AT187" s="334"/>
      <c r="AU187" s="334"/>
      <c r="AV187" s="334"/>
      <c r="AW187" s="321"/>
    </row>
    <row r="188" spans="19:49">
      <c r="S188" s="321"/>
      <c r="T188" s="334"/>
      <c r="U188" s="365"/>
      <c r="V188" s="366">
        <f t="shared" si="17"/>
        <v>81.5</v>
      </c>
      <c r="W188" s="367">
        <f t="shared" si="25"/>
        <v>453.59757189221114</v>
      </c>
      <c r="X188" s="378"/>
      <c r="Y188" s="369"/>
      <c r="Z188" s="371">
        <f t="shared" si="18"/>
        <v>9.1912699999999996E-3</v>
      </c>
      <c r="AA188" s="371">
        <f t="shared" si="19"/>
        <v>4.4965000000000001E-4</v>
      </c>
      <c r="AB188" s="372" t="str">
        <f t="shared" si="20"/>
        <v>N</v>
      </c>
      <c r="AC188" s="337">
        <v>82</v>
      </c>
      <c r="AD188" s="334"/>
      <c r="AE188" s="334"/>
      <c r="AF188" s="334"/>
      <c r="AG188" s="334"/>
      <c r="AH188" s="333"/>
      <c r="AI188" s="334"/>
      <c r="AJ188" s="365"/>
      <c r="AK188" s="366">
        <f t="shared" si="21"/>
        <v>81.5</v>
      </c>
      <c r="AL188" s="367">
        <f t="shared" si="26"/>
        <v>2213.5629036586924</v>
      </c>
      <c r="AM188" s="378"/>
      <c r="AN188" s="369"/>
      <c r="AO188" s="371">
        <f t="shared" si="22"/>
        <v>1.3451940000000001E-2</v>
      </c>
      <c r="AP188" s="371">
        <f t="shared" si="23"/>
        <v>0</v>
      </c>
      <c r="AQ188" s="372" t="str">
        <f t="shared" si="24"/>
        <v>N</v>
      </c>
      <c r="AR188" s="337">
        <v>82</v>
      </c>
      <c r="AS188" s="334"/>
      <c r="AT188" s="334"/>
      <c r="AU188" s="334"/>
      <c r="AV188" s="334"/>
      <c r="AW188" s="321"/>
    </row>
    <row r="189" spans="19:49">
      <c r="S189" s="321"/>
      <c r="T189" s="334"/>
      <c r="U189" s="365"/>
      <c r="V189" s="366">
        <f t="shared" si="17"/>
        <v>82.5</v>
      </c>
      <c r="W189" s="367">
        <f t="shared" si="25"/>
        <v>449.47391316442605</v>
      </c>
      <c r="X189" s="378"/>
      <c r="Y189" s="369"/>
      <c r="Z189" s="371">
        <f t="shared" si="18"/>
        <v>9.0910000000000001E-3</v>
      </c>
      <c r="AA189" s="371">
        <f t="shared" si="19"/>
        <v>3.4937999999999999E-4</v>
      </c>
      <c r="AB189" s="372" t="str">
        <f t="shared" si="20"/>
        <v>N</v>
      </c>
      <c r="AC189" s="337">
        <v>83</v>
      </c>
      <c r="AD189" s="334"/>
      <c r="AE189" s="334"/>
      <c r="AF189" s="334"/>
      <c r="AG189" s="334"/>
      <c r="AH189" s="333"/>
      <c r="AI189" s="334"/>
      <c r="AJ189" s="365"/>
      <c r="AK189" s="366">
        <f t="shared" si="21"/>
        <v>82.5</v>
      </c>
      <c r="AL189" s="367">
        <f t="shared" si="26"/>
        <v>2183.786172771237</v>
      </c>
      <c r="AM189" s="378"/>
      <c r="AN189" s="369"/>
      <c r="AO189" s="371">
        <f t="shared" si="22"/>
        <v>1.3451940000000001E-2</v>
      </c>
      <c r="AP189" s="371">
        <f t="shared" si="23"/>
        <v>0</v>
      </c>
      <c r="AQ189" s="372" t="str">
        <f t="shared" si="24"/>
        <v>N</v>
      </c>
      <c r="AR189" s="337">
        <v>83</v>
      </c>
      <c r="AS189" s="334"/>
      <c r="AT189" s="334"/>
      <c r="AU189" s="334"/>
      <c r="AV189" s="334"/>
      <c r="AW189" s="321"/>
    </row>
    <row r="190" spans="19:49" ht="15.05" thickBot="1">
      <c r="S190" s="321"/>
      <c r="T190" s="334"/>
      <c r="U190" s="373">
        <f>1+U178</f>
        <v>7</v>
      </c>
      <c r="V190" s="374">
        <f t="shared" si="17"/>
        <v>83.5</v>
      </c>
      <c r="W190" s="367">
        <f t="shared" si="25"/>
        <v>445.4318386145485</v>
      </c>
      <c r="X190" s="375">
        <f>SUM(W179:W190)</f>
        <v>5631.2751651603949</v>
      </c>
      <c r="Y190" s="376">
        <f>-(X190/X178-1)</f>
        <v>0.11636936073363047</v>
      </c>
      <c r="Z190" s="371">
        <f t="shared" si="18"/>
        <v>8.9928999999999999E-3</v>
      </c>
      <c r="AA190" s="371">
        <f t="shared" si="19"/>
        <v>2.5127999999999999E-4</v>
      </c>
      <c r="AB190" s="372" t="str">
        <f t="shared" si="20"/>
        <v>N</v>
      </c>
      <c r="AC190" s="337">
        <v>84</v>
      </c>
      <c r="AD190" s="334"/>
      <c r="AE190" s="334"/>
      <c r="AF190" s="334"/>
      <c r="AG190" s="334"/>
      <c r="AH190" s="333"/>
      <c r="AI190" s="334"/>
      <c r="AJ190" s="373">
        <f>1+AJ178</f>
        <v>7</v>
      </c>
      <c r="AK190" s="374">
        <f t="shared" si="21"/>
        <v>83.5</v>
      </c>
      <c r="AL190" s="367">
        <f t="shared" si="26"/>
        <v>2154.4099968898663</v>
      </c>
      <c r="AM190" s="375">
        <f>SUM(AL179:AL190)</f>
        <v>27882.633152892857</v>
      </c>
      <c r="AN190" s="376">
        <f>-(AM190/AM178-1)</f>
        <v>0.1464883281619257</v>
      </c>
      <c r="AO190" s="371">
        <f t="shared" si="22"/>
        <v>1.3451940000000001E-2</v>
      </c>
      <c r="AP190" s="371">
        <f t="shared" si="23"/>
        <v>0</v>
      </c>
      <c r="AQ190" s="372" t="str">
        <f t="shared" si="24"/>
        <v>N</v>
      </c>
      <c r="AR190" s="337">
        <v>84</v>
      </c>
      <c r="AS190" s="334"/>
      <c r="AT190" s="334"/>
      <c r="AU190" s="334"/>
      <c r="AV190" s="334"/>
      <c r="AW190" s="321"/>
    </row>
    <row r="191" spans="19:49">
      <c r="S191" s="321"/>
      <c r="T191" s="334"/>
      <c r="U191" s="365"/>
      <c r="V191" s="366">
        <f t="shared" si="17"/>
        <v>84.5</v>
      </c>
      <c r="W191" s="377">
        <f t="shared" si="25"/>
        <v>441.46888035989844</v>
      </c>
      <c r="X191" s="378"/>
      <c r="Y191" s="369"/>
      <c r="Z191" s="371">
        <f t="shared" si="18"/>
        <v>8.8968899999999993E-3</v>
      </c>
      <c r="AA191" s="371">
        <f t="shared" si="19"/>
        <v>1.5527E-4</v>
      </c>
      <c r="AB191" s="372" t="str">
        <f t="shared" si="20"/>
        <v>N</v>
      </c>
      <c r="AC191" s="337">
        <v>85</v>
      </c>
      <c r="AD191" s="334"/>
      <c r="AE191" s="334"/>
      <c r="AF191" s="334"/>
      <c r="AG191" s="334"/>
      <c r="AH191" s="333"/>
      <c r="AI191" s="334"/>
      <c r="AJ191" s="365"/>
      <c r="AK191" s="366">
        <f t="shared" si="21"/>
        <v>84.5</v>
      </c>
      <c r="AL191" s="377">
        <f t="shared" si="26"/>
        <v>2125.4289877698629</v>
      </c>
      <c r="AM191" s="378"/>
      <c r="AN191" s="369"/>
      <c r="AO191" s="371">
        <f t="shared" si="22"/>
        <v>1.3451940000000001E-2</v>
      </c>
      <c r="AP191" s="371">
        <f t="shared" si="23"/>
        <v>0</v>
      </c>
      <c r="AQ191" s="372" t="str">
        <f t="shared" si="24"/>
        <v>N</v>
      </c>
      <c r="AR191" s="337">
        <v>85</v>
      </c>
      <c r="AS191" s="334"/>
      <c r="AT191" s="334"/>
      <c r="AU191" s="334"/>
      <c r="AV191" s="334"/>
      <c r="AW191" s="321"/>
    </row>
    <row r="192" spans="19:49">
      <c r="S192" s="321"/>
      <c r="T192" s="334"/>
      <c r="U192" s="365"/>
      <c r="V192" s="366">
        <f t="shared" si="17"/>
        <v>85.5</v>
      </c>
      <c r="W192" s="367">
        <f t="shared" si="25"/>
        <v>437.58267045117742</v>
      </c>
      <c r="X192" s="378"/>
      <c r="Y192" s="369"/>
      <c r="Z192" s="371">
        <f t="shared" si="18"/>
        <v>8.8029000000000007E-3</v>
      </c>
      <c r="AA192" s="371">
        <f t="shared" si="19"/>
        <v>6.1279999999999996E-5</v>
      </c>
      <c r="AB192" s="372" t="str">
        <f t="shared" si="20"/>
        <v>N</v>
      </c>
      <c r="AC192" s="337">
        <v>86</v>
      </c>
      <c r="AD192" s="334"/>
      <c r="AE192" s="334"/>
      <c r="AF192" s="334"/>
      <c r="AG192" s="334"/>
      <c r="AH192" s="333"/>
      <c r="AI192" s="334"/>
      <c r="AJ192" s="365"/>
      <c r="AK192" s="366">
        <f t="shared" si="21"/>
        <v>85.5</v>
      </c>
      <c r="AL192" s="367">
        <f t="shared" si="26"/>
        <v>2096.8378296488927</v>
      </c>
      <c r="AM192" s="378"/>
      <c r="AN192" s="369"/>
      <c r="AO192" s="371">
        <f t="shared" si="22"/>
        <v>1.3451940000000001E-2</v>
      </c>
      <c r="AP192" s="371">
        <f t="shared" si="23"/>
        <v>0</v>
      </c>
      <c r="AQ192" s="372" t="str">
        <f t="shared" si="24"/>
        <v>N</v>
      </c>
      <c r="AR192" s="337">
        <v>86</v>
      </c>
      <c r="AS192" s="334"/>
      <c r="AT192" s="334"/>
      <c r="AU192" s="334"/>
      <c r="AV192" s="334"/>
      <c r="AW192" s="321"/>
    </row>
    <row r="193" spans="19:49">
      <c r="S193" s="321"/>
      <c r="T193" s="334"/>
      <c r="U193" s="365"/>
      <c r="V193" s="366">
        <f t="shared" si="17"/>
        <v>86.5</v>
      </c>
      <c r="W193" s="367">
        <f t="shared" si="25"/>
        <v>433.77093582348584</v>
      </c>
      <c r="X193" s="378"/>
      <c r="Y193" s="369"/>
      <c r="Z193" s="371">
        <f t="shared" si="18"/>
        <v>8.7108900000000006E-3</v>
      </c>
      <c r="AA193" s="371">
        <f t="shared" si="19"/>
        <v>-3.0719999999999997E-5</v>
      </c>
      <c r="AB193" s="372" t="str">
        <f t="shared" si="20"/>
        <v>Y</v>
      </c>
      <c r="AC193" s="337">
        <v>87</v>
      </c>
      <c r="AD193" s="334"/>
      <c r="AE193" s="334"/>
      <c r="AF193" s="334"/>
      <c r="AG193" s="334"/>
      <c r="AH193" s="333"/>
      <c r="AI193" s="334"/>
      <c r="AJ193" s="365"/>
      <c r="AK193" s="366">
        <f t="shared" si="21"/>
        <v>86.5</v>
      </c>
      <c r="AL193" s="367">
        <f t="shared" si="26"/>
        <v>2068.6312782719738</v>
      </c>
      <c r="AM193" s="378"/>
      <c r="AN193" s="369"/>
      <c r="AO193" s="371">
        <f t="shared" si="22"/>
        <v>1.3451940000000001E-2</v>
      </c>
      <c r="AP193" s="371">
        <f t="shared" si="23"/>
        <v>0</v>
      </c>
      <c r="AQ193" s="372" t="str">
        <f t="shared" si="24"/>
        <v>N</v>
      </c>
      <c r="AR193" s="337">
        <v>87</v>
      </c>
      <c r="AS193" s="334"/>
      <c r="AT193" s="334"/>
      <c r="AU193" s="334"/>
      <c r="AV193" s="334"/>
      <c r="AW193" s="321"/>
    </row>
    <row r="194" spans="19:49">
      <c r="S194" s="321"/>
      <c r="T194" s="334"/>
      <c r="U194" s="365"/>
      <c r="V194" s="366">
        <f t="shared" si="17"/>
        <v>87.5</v>
      </c>
      <c r="W194" s="367">
        <f t="shared" si="25"/>
        <v>431.87084586479097</v>
      </c>
      <c r="X194" s="378"/>
      <c r="Y194" s="369"/>
      <c r="Z194" s="371">
        <f t="shared" si="18"/>
        <v>4.3803899999999996E-3</v>
      </c>
      <c r="AA194" s="371">
        <f t="shared" si="19"/>
        <v>-4.3612199999999999E-3</v>
      </c>
      <c r="AB194" s="372" t="str">
        <f t="shared" si="20"/>
        <v>Y</v>
      </c>
      <c r="AC194" s="337">
        <v>88</v>
      </c>
      <c r="AD194" s="334"/>
      <c r="AE194" s="334"/>
      <c r="AF194" s="334"/>
      <c r="AG194" s="334"/>
      <c r="AH194" s="333"/>
      <c r="AI194" s="334"/>
      <c r="AJ194" s="365"/>
      <c r="AK194" s="366">
        <f t="shared" si="21"/>
        <v>87.5</v>
      </c>
      <c r="AL194" s="367">
        <f t="shared" si="26"/>
        <v>2040.8041599295645</v>
      </c>
      <c r="AM194" s="378"/>
      <c r="AN194" s="369"/>
      <c r="AO194" s="371">
        <f t="shared" si="22"/>
        <v>1.3451940000000001E-2</v>
      </c>
      <c r="AP194" s="371">
        <f t="shared" si="23"/>
        <v>0</v>
      </c>
      <c r="AQ194" s="372" t="str">
        <f t="shared" si="24"/>
        <v>N</v>
      </c>
      <c r="AR194" s="337">
        <v>88</v>
      </c>
      <c r="AS194" s="334"/>
      <c r="AT194" s="334"/>
      <c r="AU194" s="334"/>
      <c r="AV194" s="334"/>
      <c r="AW194" s="321"/>
    </row>
    <row r="195" spans="19:49">
      <c r="S195" s="321"/>
      <c r="T195" s="334"/>
      <c r="U195" s="365"/>
      <c r="V195" s="366">
        <f t="shared" si="17"/>
        <v>88.5</v>
      </c>
      <c r="W195" s="367">
        <f t="shared" si="25"/>
        <v>428.09559894756512</v>
      </c>
      <c r="X195" s="378"/>
      <c r="Y195" s="369"/>
      <c r="Z195" s="371">
        <f t="shared" si="18"/>
        <v>8.7416100000000004E-3</v>
      </c>
      <c r="AA195" s="371">
        <f t="shared" si="19"/>
        <v>0</v>
      </c>
      <c r="AB195" s="372" t="str">
        <f t="shared" si="20"/>
        <v>N</v>
      </c>
      <c r="AC195" s="337">
        <v>89</v>
      </c>
      <c r="AD195" s="334"/>
      <c r="AE195" s="334"/>
      <c r="AF195" s="334"/>
      <c r="AG195" s="334"/>
      <c r="AH195" s="333"/>
      <c r="AI195" s="334"/>
      <c r="AJ195" s="365"/>
      <c r="AK195" s="366">
        <f t="shared" si="21"/>
        <v>88.5</v>
      </c>
      <c r="AL195" s="367">
        <f t="shared" si="26"/>
        <v>2013.3513705085907</v>
      </c>
      <c r="AM195" s="378"/>
      <c r="AN195" s="369"/>
      <c r="AO195" s="371">
        <f t="shared" si="22"/>
        <v>1.3451940000000001E-2</v>
      </c>
      <c r="AP195" s="371">
        <f t="shared" si="23"/>
        <v>0</v>
      </c>
      <c r="AQ195" s="372" t="str">
        <f t="shared" si="24"/>
        <v>N</v>
      </c>
      <c r="AR195" s="337">
        <v>89</v>
      </c>
      <c r="AS195" s="334"/>
      <c r="AT195" s="334"/>
      <c r="AU195" s="334"/>
      <c r="AV195" s="334"/>
      <c r="AW195" s="321"/>
    </row>
    <row r="196" spans="19:49">
      <c r="S196" s="321"/>
      <c r="T196" s="334"/>
      <c r="U196" s="365"/>
      <c r="V196" s="366">
        <f t="shared" si="17"/>
        <v>89.5</v>
      </c>
      <c r="W196" s="367">
        <f t="shared" si="25"/>
        <v>424.35335377014769</v>
      </c>
      <c r="X196" s="378"/>
      <c r="Y196" s="369"/>
      <c r="Z196" s="371">
        <f t="shared" si="18"/>
        <v>8.7416100000000004E-3</v>
      </c>
      <c r="AA196" s="371">
        <f t="shared" si="19"/>
        <v>0</v>
      </c>
      <c r="AB196" s="372" t="str">
        <f t="shared" si="20"/>
        <v>N</v>
      </c>
      <c r="AC196" s="337">
        <v>90</v>
      </c>
      <c r="AD196" s="334"/>
      <c r="AE196" s="334"/>
      <c r="AF196" s="334"/>
      <c r="AG196" s="334"/>
      <c r="AH196" s="333"/>
      <c r="AI196" s="334"/>
      <c r="AJ196" s="365"/>
      <c r="AK196" s="366">
        <f t="shared" si="21"/>
        <v>89.5</v>
      </c>
      <c r="AL196" s="367">
        <f t="shared" si="26"/>
        <v>1986.2678745562355</v>
      </c>
      <c r="AM196" s="378"/>
      <c r="AN196" s="369"/>
      <c r="AO196" s="371">
        <f t="shared" si="22"/>
        <v>1.3451940000000001E-2</v>
      </c>
      <c r="AP196" s="371">
        <f t="shared" si="23"/>
        <v>0</v>
      </c>
      <c r="AQ196" s="372" t="str">
        <f t="shared" si="24"/>
        <v>N</v>
      </c>
      <c r="AR196" s="337">
        <v>90</v>
      </c>
      <c r="AS196" s="334"/>
      <c r="AT196" s="334"/>
      <c r="AU196" s="334"/>
      <c r="AV196" s="334"/>
      <c r="AW196" s="321"/>
    </row>
    <row r="197" spans="19:49">
      <c r="S197" s="321"/>
      <c r="T197" s="334"/>
      <c r="U197" s="365"/>
      <c r="V197" s="366">
        <f t="shared" si="17"/>
        <v>90.5</v>
      </c>
      <c r="W197" s="367">
        <f t="shared" si="25"/>
        <v>420.64382184416826</v>
      </c>
      <c r="X197" s="378"/>
      <c r="Y197" s="369"/>
      <c r="Z197" s="371">
        <f t="shared" si="18"/>
        <v>8.7416100000000004E-3</v>
      </c>
      <c r="AA197" s="371">
        <f t="shared" si="19"/>
        <v>0</v>
      </c>
      <c r="AB197" s="372" t="str">
        <f t="shared" si="20"/>
        <v>N</v>
      </c>
      <c r="AC197" s="337">
        <v>91</v>
      </c>
      <c r="AD197" s="334"/>
      <c r="AE197" s="334"/>
      <c r="AF197" s="334"/>
      <c r="AG197" s="334"/>
      <c r="AH197" s="333"/>
      <c r="AI197" s="334"/>
      <c r="AJ197" s="365"/>
      <c r="AK197" s="366">
        <f t="shared" si="21"/>
        <v>90.5</v>
      </c>
      <c r="AL197" s="367">
        <f t="shared" si="26"/>
        <v>1959.5487043563273</v>
      </c>
      <c r="AM197" s="378"/>
      <c r="AN197" s="369"/>
      <c r="AO197" s="371">
        <f t="shared" si="22"/>
        <v>1.3451940000000001E-2</v>
      </c>
      <c r="AP197" s="371">
        <f t="shared" si="23"/>
        <v>0</v>
      </c>
      <c r="AQ197" s="372" t="str">
        <f t="shared" si="24"/>
        <v>N</v>
      </c>
      <c r="AR197" s="337">
        <v>91</v>
      </c>
      <c r="AS197" s="334"/>
      <c r="AT197" s="334"/>
      <c r="AU197" s="334"/>
      <c r="AV197" s="334"/>
      <c r="AW197" s="321"/>
    </row>
    <row r="198" spans="19:49">
      <c r="S198" s="321"/>
      <c r="T198" s="334"/>
      <c r="U198" s="365"/>
      <c r="V198" s="366">
        <f t="shared" si="17"/>
        <v>91.5</v>
      </c>
      <c r="W198" s="367">
        <f t="shared" si="25"/>
        <v>416.96671720310979</v>
      </c>
      <c r="X198" s="378"/>
      <c r="Y198" s="369"/>
      <c r="Z198" s="371">
        <f t="shared" si="18"/>
        <v>8.7416100000000004E-3</v>
      </c>
      <c r="AA198" s="371">
        <f t="shared" si="19"/>
        <v>0</v>
      </c>
      <c r="AB198" s="372" t="str">
        <f t="shared" si="20"/>
        <v>N</v>
      </c>
      <c r="AC198" s="337">
        <v>92</v>
      </c>
      <c r="AD198" s="334"/>
      <c r="AE198" s="334"/>
      <c r="AF198" s="334"/>
      <c r="AG198" s="334"/>
      <c r="AH198" s="333"/>
      <c r="AI198" s="334"/>
      <c r="AJ198" s="365"/>
      <c r="AK198" s="366">
        <f t="shared" si="21"/>
        <v>91.5</v>
      </c>
      <c r="AL198" s="367">
        <f t="shared" si="26"/>
        <v>1933.1889590181497</v>
      </c>
      <c r="AM198" s="378"/>
      <c r="AN198" s="369"/>
      <c r="AO198" s="371">
        <f t="shared" si="22"/>
        <v>1.3451940000000001E-2</v>
      </c>
      <c r="AP198" s="371">
        <f t="shared" si="23"/>
        <v>0</v>
      </c>
      <c r="AQ198" s="372" t="str">
        <f t="shared" si="24"/>
        <v>N</v>
      </c>
      <c r="AR198" s="337">
        <v>92</v>
      </c>
      <c r="AS198" s="334"/>
      <c r="AT198" s="334"/>
      <c r="AU198" s="334"/>
      <c r="AV198" s="334"/>
      <c r="AW198" s="321"/>
    </row>
    <row r="199" spans="19:49">
      <c r="S199" s="321"/>
      <c r="T199" s="334"/>
      <c r="U199" s="365"/>
      <c r="V199" s="366">
        <f t="shared" si="17"/>
        <v>92.5</v>
      </c>
      <c r="W199" s="367">
        <f t="shared" si="25"/>
        <v>413.32175638026314</v>
      </c>
      <c r="X199" s="378"/>
      <c r="Y199" s="369"/>
      <c r="Z199" s="371">
        <f t="shared" si="18"/>
        <v>8.7416100000000004E-3</v>
      </c>
      <c r="AA199" s="371">
        <f t="shared" si="19"/>
        <v>0</v>
      </c>
      <c r="AB199" s="372" t="str">
        <f t="shared" si="20"/>
        <v>N</v>
      </c>
      <c r="AC199" s="337">
        <v>93</v>
      </c>
      <c r="AD199" s="334"/>
      <c r="AE199" s="334"/>
      <c r="AF199" s="334"/>
      <c r="AG199" s="334"/>
      <c r="AH199" s="333"/>
      <c r="AI199" s="334"/>
      <c r="AJ199" s="365"/>
      <c r="AK199" s="366">
        <f t="shared" si="21"/>
        <v>92.5</v>
      </c>
      <c r="AL199" s="367">
        <f t="shared" si="26"/>
        <v>1907.1838035775077</v>
      </c>
      <c r="AM199" s="378"/>
      <c r="AN199" s="369"/>
      <c r="AO199" s="371">
        <f t="shared" si="22"/>
        <v>1.3451940000000001E-2</v>
      </c>
      <c r="AP199" s="371">
        <f t="shared" si="23"/>
        <v>0</v>
      </c>
      <c r="AQ199" s="372" t="str">
        <f t="shared" si="24"/>
        <v>N</v>
      </c>
      <c r="AR199" s="337">
        <v>93</v>
      </c>
      <c r="AS199" s="334"/>
      <c r="AT199" s="334"/>
      <c r="AU199" s="334"/>
      <c r="AV199" s="334"/>
      <c r="AW199" s="321"/>
    </row>
    <row r="200" spans="19:49">
      <c r="S200" s="321"/>
      <c r="T200" s="334"/>
      <c r="U200" s="365"/>
      <c r="V200" s="366">
        <f t="shared" si="17"/>
        <v>93.5</v>
      </c>
      <c r="W200" s="367">
        <f t="shared" si="25"/>
        <v>409.70865838687496</v>
      </c>
      <c r="X200" s="378"/>
      <c r="Y200" s="369"/>
      <c r="Z200" s="371">
        <f t="shared" si="18"/>
        <v>8.7416100000000004E-3</v>
      </c>
      <c r="AA200" s="371">
        <f t="shared" si="19"/>
        <v>0</v>
      </c>
      <c r="AB200" s="372" t="str">
        <f t="shared" si="20"/>
        <v>N</v>
      </c>
      <c r="AC200" s="337">
        <v>94</v>
      </c>
      <c r="AD200" s="334"/>
      <c r="AE200" s="334"/>
      <c r="AF200" s="334"/>
      <c r="AG200" s="334"/>
      <c r="AH200" s="333"/>
      <c r="AI200" s="334"/>
      <c r="AJ200" s="365"/>
      <c r="AK200" s="366">
        <f t="shared" si="21"/>
        <v>93.5</v>
      </c>
      <c r="AL200" s="367">
        <f t="shared" si="26"/>
        <v>1881.5284681098885</v>
      </c>
      <c r="AM200" s="378"/>
      <c r="AN200" s="369"/>
      <c r="AO200" s="371">
        <f t="shared" si="22"/>
        <v>1.3451940000000001E-2</v>
      </c>
      <c r="AP200" s="371">
        <f t="shared" si="23"/>
        <v>0</v>
      </c>
      <c r="AQ200" s="372" t="str">
        <f t="shared" si="24"/>
        <v>N</v>
      </c>
      <c r="AR200" s="337">
        <v>94</v>
      </c>
      <c r="AS200" s="334"/>
      <c r="AT200" s="334"/>
      <c r="AU200" s="334"/>
      <c r="AV200" s="334"/>
      <c r="AW200" s="321"/>
    </row>
    <row r="201" spans="19:49">
      <c r="S201" s="321"/>
      <c r="T201" s="334"/>
      <c r="U201" s="365"/>
      <c r="V201" s="366">
        <f t="shared" si="17"/>
        <v>94.5</v>
      </c>
      <c r="W201" s="367">
        <f t="shared" si="25"/>
        <v>406.1271446904862</v>
      </c>
      <c r="X201" s="378"/>
      <c r="Y201" s="369"/>
      <c r="Z201" s="371">
        <f t="shared" si="18"/>
        <v>8.7416100000000004E-3</v>
      </c>
      <c r="AA201" s="371">
        <f t="shared" si="19"/>
        <v>0</v>
      </c>
      <c r="AB201" s="372" t="str">
        <f t="shared" si="20"/>
        <v>N</v>
      </c>
      <c r="AC201" s="337">
        <v>95</v>
      </c>
      <c r="AD201" s="334"/>
      <c r="AE201" s="334"/>
      <c r="AF201" s="334"/>
      <c r="AG201" s="334"/>
      <c r="AH201" s="333"/>
      <c r="AI201" s="334"/>
      <c r="AJ201" s="365"/>
      <c r="AK201" s="366">
        <f t="shared" si="21"/>
        <v>94.5</v>
      </c>
      <c r="AL201" s="367">
        <f t="shared" si="26"/>
        <v>1856.2182468555513</v>
      </c>
      <c r="AM201" s="378"/>
      <c r="AN201" s="369"/>
      <c r="AO201" s="371">
        <f t="shared" si="22"/>
        <v>1.3451940000000001E-2</v>
      </c>
      <c r="AP201" s="371">
        <f t="shared" si="23"/>
        <v>0</v>
      </c>
      <c r="AQ201" s="372" t="str">
        <f t="shared" si="24"/>
        <v>N</v>
      </c>
      <c r="AR201" s="337">
        <v>95</v>
      </c>
      <c r="AS201" s="334"/>
      <c r="AT201" s="334"/>
      <c r="AU201" s="334"/>
      <c r="AV201" s="334"/>
      <c r="AW201" s="321"/>
    </row>
    <row r="202" spans="19:49" ht="15.05" thickBot="1">
      <c r="S202" s="321"/>
      <c r="T202" s="334"/>
      <c r="U202" s="373">
        <f>1+U190</f>
        <v>8</v>
      </c>
      <c r="V202" s="374">
        <f t="shared" si="17"/>
        <v>95.5</v>
      </c>
      <c r="W202" s="367">
        <f t="shared" si="25"/>
        <v>402.57693919346013</v>
      </c>
      <c r="X202" s="375">
        <f>SUM(W191:W202)</f>
        <v>5066.4873229154282</v>
      </c>
      <c r="Y202" s="376">
        <f>-(X202/X190-1)</f>
        <v>0.10029484009930811</v>
      </c>
      <c r="Z202" s="371">
        <f t="shared" si="18"/>
        <v>8.7416100000000004E-3</v>
      </c>
      <c r="AA202" s="371">
        <f t="shared" si="19"/>
        <v>0</v>
      </c>
      <c r="AB202" s="372" t="str">
        <f t="shared" si="20"/>
        <v>N</v>
      </c>
      <c r="AC202" s="337">
        <v>96</v>
      </c>
      <c r="AD202" s="334"/>
      <c r="AE202" s="334"/>
      <c r="AF202" s="334"/>
      <c r="AG202" s="334"/>
      <c r="AH202" s="333"/>
      <c r="AI202" s="334"/>
      <c r="AJ202" s="373">
        <f>1+AJ190</f>
        <v>8</v>
      </c>
      <c r="AK202" s="374">
        <f t="shared" si="21"/>
        <v>95.5</v>
      </c>
      <c r="AL202" s="367">
        <f t="shared" si="26"/>
        <v>1831.2484973563865</v>
      </c>
      <c r="AM202" s="375">
        <f>SUM(AL191:AL202)</f>
        <v>23700.238179958931</v>
      </c>
      <c r="AN202" s="376">
        <f>-(AM202/AM190-1)</f>
        <v>0.14999999999999991</v>
      </c>
      <c r="AO202" s="371">
        <f t="shared" si="22"/>
        <v>1.3451940000000001E-2</v>
      </c>
      <c r="AP202" s="371">
        <f t="shared" si="23"/>
        <v>0</v>
      </c>
      <c r="AQ202" s="372" t="str">
        <f t="shared" si="24"/>
        <v>N</v>
      </c>
      <c r="AR202" s="337">
        <v>96</v>
      </c>
      <c r="AS202" s="334"/>
      <c r="AT202" s="334"/>
      <c r="AU202" s="334"/>
      <c r="AV202" s="334"/>
      <c r="AW202" s="321"/>
    </row>
    <row r="203" spans="19:49">
      <c r="S203" s="321"/>
      <c r="T203" s="334"/>
      <c r="U203" s="365"/>
      <c r="V203" s="366">
        <f t="shared" si="17"/>
        <v>96.5</v>
      </c>
      <c r="W203" s="377">
        <f t="shared" si="25"/>
        <v>399.05776821169832</v>
      </c>
      <c r="X203" s="378"/>
      <c r="Y203" s="369"/>
      <c r="Z203" s="371">
        <f t="shared" si="18"/>
        <v>8.7416100000000004E-3</v>
      </c>
      <c r="AA203" s="371">
        <f t="shared" si="19"/>
        <v>0</v>
      </c>
      <c r="AB203" s="372" t="str">
        <f t="shared" si="20"/>
        <v>N</v>
      </c>
      <c r="AC203" s="337">
        <v>97</v>
      </c>
      <c r="AD203" s="334"/>
      <c r="AE203" s="334"/>
      <c r="AF203" s="334"/>
      <c r="AG203" s="334"/>
      <c r="AH203" s="333"/>
      <c r="AI203" s="334"/>
      <c r="AJ203" s="365"/>
      <c r="AK203" s="366">
        <f t="shared" si="21"/>
        <v>96.5</v>
      </c>
      <c r="AL203" s="377">
        <f t="shared" si="26"/>
        <v>1806.6146396043837</v>
      </c>
      <c r="AM203" s="378"/>
      <c r="AN203" s="369"/>
      <c r="AO203" s="371">
        <f t="shared" si="22"/>
        <v>1.3451940000000001E-2</v>
      </c>
      <c r="AP203" s="371">
        <f t="shared" si="23"/>
        <v>0</v>
      </c>
      <c r="AQ203" s="372" t="str">
        <f t="shared" si="24"/>
        <v>N</v>
      </c>
      <c r="AR203" s="337">
        <v>97</v>
      </c>
      <c r="AS203" s="334"/>
      <c r="AT203" s="334"/>
      <c r="AU203" s="334"/>
      <c r="AV203" s="334"/>
      <c r="AW203" s="321"/>
    </row>
    <row r="204" spans="19:49">
      <c r="S204" s="321"/>
      <c r="T204" s="334"/>
      <c r="U204" s="365"/>
      <c r="V204" s="366">
        <f t="shared" si="17"/>
        <v>97.5</v>
      </c>
      <c r="W204" s="367">
        <f t="shared" si="25"/>
        <v>395.56936045354212</v>
      </c>
      <c r="X204" s="378"/>
      <c r="Y204" s="369"/>
      <c r="Z204" s="371">
        <f t="shared" si="18"/>
        <v>8.7416100000000004E-3</v>
      </c>
      <c r="AA204" s="371">
        <f t="shared" si="19"/>
        <v>0</v>
      </c>
      <c r="AB204" s="372" t="str">
        <f t="shared" si="20"/>
        <v>N</v>
      </c>
      <c r="AC204" s="337">
        <v>98</v>
      </c>
      <c r="AD204" s="334"/>
      <c r="AE204" s="334"/>
      <c r="AF204" s="334"/>
      <c r="AG204" s="334"/>
      <c r="AH204" s="333"/>
      <c r="AI204" s="334"/>
      <c r="AJ204" s="365"/>
      <c r="AK204" s="366">
        <f t="shared" si="21"/>
        <v>97.5</v>
      </c>
      <c r="AL204" s="367">
        <f t="shared" si="26"/>
        <v>1782.3121552015589</v>
      </c>
      <c r="AM204" s="378"/>
      <c r="AN204" s="369"/>
      <c r="AO204" s="371">
        <f t="shared" si="22"/>
        <v>1.3451940000000001E-2</v>
      </c>
      <c r="AP204" s="371">
        <f t="shared" si="23"/>
        <v>0</v>
      </c>
      <c r="AQ204" s="372" t="str">
        <f t="shared" si="24"/>
        <v>N</v>
      </c>
      <c r="AR204" s="337">
        <v>98</v>
      </c>
      <c r="AS204" s="334"/>
      <c r="AT204" s="334"/>
      <c r="AU204" s="334"/>
      <c r="AV204" s="334"/>
      <c r="AW204" s="321"/>
    </row>
    <row r="205" spans="19:49">
      <c r="S205" s="321"/>
      <c r="T205" s="334"/>
      <c r="U205" s="365"/>
      <c r="V205" s="366">
        <f t="shared" si="17"/>
        <v>98.5</v>
      </c>
      <c r="W205" s="367">
        <f t="shared" si="25"/>
        <v>392.11144699885904</v>
      </c>
      <c r="X205" s="378"/>
      <c r="Y205" s="369"/>
      <c r="Z205" s="371">
        <f t="shared" si="18"/>
        <v>8.7416100000000004E-3</v>
      </c>
      <c r="AA205" s="371">
        <f t="shared" si="19"/>
        <v>0</v>
      </c>
      <c r="AB205" s="372" t="str">
        <f t="shared" si="20"/>
        <v>N</v>
      </c>
      <c r="AC205" s="337">
        <v>99</v>
      </c>
      <c r="AD205" s="334"/>
      <c r="AE205" s="334"/>
      <c r="AF205" s="334"/>
      <c r="AG205" s="334"/>
      <c r="AH205" s="333"/>
      <c r="AI205" s="334"/>
      <c r="AJ205" s="365"/>
      <c r="AK205" s="366">
        <f t="shared" si="21"/>
        <v>98.5</v>
      </c>
      <c r="AL205" s="367">
        <f t="shared" si="26"/>
        <v>1758.3365865311778</v>
      </c>
      <c r="AM205" s="378"/>
      <c r="AN205" s="369"/>
      <c r="AO205" s="371">
        <f t="shared" si="22"/>
        <v>1.3451940000000001E-2</v>
      </c>
      <c r="AP205" s="371">
        <f t="shared" si="23"/>
        <v>0</v>
      </c>
      <c r="AQ205" s="372" t="str">
        <f t="shared" si="24"/>
        <v>N</v>
      </c>
      <c r="AR205" s="337">
        <v>99</v>
      </c>
      <c r="AS205" s="334"/>
      <c r="AT205" s="334"/>
      <c r="AU205" s="334"/>
      <c r="AV205" s="334"/>
      <c r="AW205" s="321"/>
    </row>
    <row r="206" spans="19:49">
      <c r="S206" s="321"/>
      <c r="T206" s="334"/>
      <c r="U206" s="365"/>
      <c r="V206" s="366">
        <f t="shared" si="17"/>
        <v>99.5</v>
      </c>
      <c r="W206" s="367">
        <f t="shared" si="25"/>
        <v>388.68376127831186</v>
      </c>
      <c r="X206" s="378"/>
      <c r="Y206" s="369"/>
      <c r="Z206" s="371">
        <f t="shared" si="18"/>
        <v>8.7416100000000004E-3</v>
      </c>
      <c r="AA206" s="371">
        <f t="shared" si="19"/>
        <v>0</v>
      </c>
      <c r="AB206" s="372" t="str">
        <f t="shared" si="20"/>
        <v>N</v>
      </c>
      <c r="AC206" s="337">
        <v>100</v>
      </c>
      <c r="AD206" s="334"/>
      <c r="AE206" s="334"/>
      <c r="AF206" s="334"/>
      <c r="AG206" s="334"/>
      <c r="AH206" s="333"/>
      <c r="AI206" s="334"/>
      <c r="AJ206" s="365"/>
      <c r="AK206" s="366">
        <f t="shared" si="21"/>
        <v>99.5</v>
      </c>
      <c r="AL206" s="367">
        <f t="shared" si="26"/>
        <v>1734.68353594013</v>
      </c>
      <c r="AM206" s="378"/>
      <c r="AN206" s="369"/>
      <c r="AO206" s="371">
        <f t="shared" si="22"/>
        <v>1.3451940000000001E-2</v>
      </c>
      <c r="AP206" s="371">
        <f t="shared" si="23"/>
        <v>0</v>
      </c>
      <c r="AQ206" s="372" t="str">
        <f t="shared" si="24"/>
        <v>N</v>
      </c>
      <c r="AR206" s="337">
        <v>100</v>
      </c>
      <c r="AS206" s="334"/>
      <c r="AT206" s="334"/>
      <c r="AU206" s="334"/>
      <c r="AV206" s="334"/>
      <c r="AW206" s="321"/>
    </row>
    <row r="207" spans="19:49">
      <c r="S207" s="321"/>
      <c r="T207" s="334"/>
      <c r="U207" s="365"/>
      <c r="V207" s="366">
        <f t="shared" si="17"/>
        <v>100.5</v>
      </c>
      <c r="W207" s="367">
        <f t="shared" si="25"/>
        <v>385.28603905280869</v>
      </c>
      <c r="X207" s="378"/>
      <c r="Y207" s="369"/>
      <c r="Z207" s="371">
        <f t="shared" si="18"/>
        <v>8.7416100000000004E-3</v>
      </c>
      <c r="AA207" s="371">
        <f t="shared" si="19"/>
        <v>0</v>
      </c>
      <c r="AB207" s="372" t="str">
        <f t="shared" si="20"/>
        <v>N</v>
      </c>
      <c r="AC207" s="337">
        <v>101</v>
      </c>
      <c r="AD207" s="334"/>
      <c r="AE207" s="334"/>
      <c r="AF207" s="334"/>
      <c r="AG207" s="334"/>
      <c r="AH207" s="333"/>
      <c r="AI207" s="334"/>
      <c r="AJ207" s="365"/>
      <c r="AK207" s="366">
        <f t="shared" si="21"/>
        <v>100.5</v>
      </c>
      <c r="AL207" s="367">
        <f t="shared" si="26"/>
        <v>1711.348664932302</v>
      </c>
      <c r="AM207" s="378"/>
      <c r="AN207" s="369"/>
      <c r="AO207" s="371">
        <f t="shared" si="22"/>
        <v>1.3451940000000001E-2</v>
      </c>
      <c r="AP207" s="371">
        <f t="shared" si="23"/>
        <v>0</v>
      </c>
      <c r="AQ207" s="372" t="str">
        <f t="shared" si="24"/>
        <v>N</v>
      </c>
      <c r="AR207" s="337">
        <v>101</v>
      </c>
      <c r="AS207" s="334"/>
      <c r="AT207" s="334"/>
      <c r="AU207" s="334"/>
      <c r="AV207" s="334"/>
      <c r="AW207" s="321"/>
    </row>
    <row r="208" spans="19:49">
      <c r="S208" s="321"/>
      <c r="T208" s="334"/>
      <c r="U208" s="365"/>
      <c r="V208" s="366">
        <f t="shared" si="17"/>
        <v>101.5</v>
      </c>
      <c r="W208" s="367">
        <f t="shared" si="25"/>
        <v>381.91801839313291</v>
      </c>
      <c r="X208" s="378"/>
      <c r="Y208" s="369"/>
      <c r="Z208" s="371">
        <f t="shared" si="18"/>
        <v>8.7416100000000004E-3</v>
      </c>
      <c r="AA208" s="371">
        <f t="shared" si="19"/>
        <v>0</v>
      </c>
      <c r="AB208" s="372" t="str">
        <f t="shared" si="20"/>
        <v>N</v>
      </c>
      <c r="AC208" s="337">
        <v>102</v>
      </c>
      <c r="AD208" s="334"/>
      <c r="AE208" s="334"/>
      <c r="AF208" s="334"/>
      <c r="AG208" s="334"/>
      <c r="AH208" s="333"/>
      <c r="AI208" s="334"/>
      <c r="AJ208" s="365"/>
      <c r="AK208" s="366">
        <f t="shared" si="21"/>
        <v>101.5</v>
      </c>
      <c r="AL208" s="367">
        <f t="shared" si="26"/>
        <v>1688.3276933728</v>
      </c>
      <c r="AM208" s="378"/>
      <c r="AN208" s="369"/>
      <c r="AO208" s="371">
        <f t="shared" si="22"/>
        <v>1.3451940000000001E-2</v>
      </c>
      <c r="AP208" s="371">
        <f t="shared" si="23"/>
        <v>0</v>
      </c>
      <c r="AQ208" s="372" t="str">
        <f t="shared" si="24"/>
        <v>N</v>
      </c>
      <c r="AR208" s="337">
        <v>102</v>
      </c>
      <c r="AS208" s="334"/>
      <c r="AT208" s="334"/>
      <c r="AU208" s="334"/>
      <c r="AV208" s="334"/>
      <c r="AW208" s="321"/>
    </row>
    <row r="209" spans="19:49">
      <c r="S209" s="321"/>
      <c r="T209" s="334"/>
      <c r="U209" s="365"/>
      <c r="V209" s="366">
        <f t="shared" si="17"/>
        <v>102.5</v>
      </c>
      <c r="W209" s="367">
        <f t="shared" si="25"/>
        <v>378.57943965975147</v>
      </c>
      <c r="X209" s="378"/>
      <c r="Y209" s="369"/>
      <c r="Z209" s="371">
        <f t="shared" si="18"/>
        <v>8.7416100000000004E-3</v>
      </c>
      <c r="AA209" s="371">
        <f t="shared" si="19"/>
        <v>0</v>
      </c>
      <c r="AB209" s="372" t="str">
        <f t="shared" si="20"/>
        <v>N</v>
      </c>
      <c r="AC209" s="337">
        <v>103</v>
      </c>
      <c r="AD209" s="334"/>
      <c r="AE209" s="334"/>
      <c r="AF209" s="334"/>
      <c r="AG209" s="334"/>
      <c r="AH209" s="333"/>
      <c r="AI209" s="334"/>
      <c r="AJ209" s="365"/>
      <c r="AK209" s="366">
        <f t="shared" si="21"/>
        <v>102.5</v>
      </c>
      <c r="AL209" s="367">
        <f t="shared" si="26"/>
        <v>1665.6163987028781</v>
      </c>
      <c r="AM209" s="378"/>
      <c r="AN209" s="369"/>
      <c r="AO209" s="371">
        <f t="shared" si="22"/>
        <v>1.3451940000000001E-2</v>
      </c>
      <c r="AP209" s="371">
        <f t="shared" si="23"/>
        <v>0</v>
      </c>
      <c r="AQ209" s="372" t="str">
        <f t="shared" si="24"/>
        <v>N</v>
      </c>
      <c r="AR209" s="337">
        <v>103</v>
      </c>
      <c r="AS209" s="334"/>
      <c r="AT209" s="334"/>
      <c r="AU209" s="334"/>
      <c r="AV209" s="334"/>
      <c r="AW209" s="321"/>
    </row>
    <row r="210" spans="19:49">
      <c r="S210" s="321"/>
      <c r="T210" s="334"/>
      <c r="U210" s="365"/>
      <c r="V210" s="366">
        <f t="shared" si="17"/>
        <v>103.5</v>
      </c>
      <c r="W210" s="367">
        <f t="shared" si="25"/>
        <v>375.27004548279882</v>
      </c>
      <c r="X210" s="378"/>
      <c r="Y210" s="369"/>
      <c r="Z210" s="371">
        <f t="shared" si="18"/>
        <v>8.7416100000000004E-3</v>
      </c>
      <c r="AA210" s="371">
        <f t="shared" si="19"/>
        <v>0</v>
      </c>
      <c r="AB210" s="372" t="str">
        <f t="shared" si="20"/>
        <v>N</v>
      </c>
      <c r="AC210" s="337">
        <v>104</v>
      </c>
      <c r="AD210" s="334"/>
      <c r="AE210" s="334"/>
      <c r="AF210" s="334"/>
      <c r="AG210" s="334"/>
      <c r="AH210" s="333"/>
      <c r="AI210" s="334"/>
      <c r="AJ210" s="365"/>
      <c r="AK210" s="366">
        <f t="shared" si="21"/>
        <v>103.5</v>
      </c>
      <c r="AL210" s="367">
        <f t="shared" si="26"/>
        <v>1643.2106151654273</v>
      </c>
      <c r="AM210" s="378"/>
      <c r="AN210" s="369"/>
      <c r="AO210" s="371">
        <f t="shared" si="22"/>
        <v>1.3451940000000001E-2</v>
      </c>
      <c r="AP210" s="371">
        <f t="shared" si="23"/>
        <v>0</v>
      </c>
      <c r="AQ210" s="372" t="str">
        <f t="shared" si="24"/>
        <v>N</v>
      </c>
      <c r="AR210" s="337">
        <v>104</v>
      </c>
      <c r="AS210" s="334"/>
      <c r="AT210" s="334"/>
      <c r="AU210" s="334"/>
      <c r="AV210" s="334"/>
      <c r="AW210" s="321"/>
    </row>
    <row r="211" spans="19:49">
      <c r="S211" s="321"/>
      <c r="T211" s="334"/>
      <c r="U211" s="365"/>
      <c r="V211" s="366">
        <f t="shared" si="17"/>
        <v>104.5</v>
      </c>
      <c r="W211" s="367">
        <f t="shared" si="25"/>
        <v>371.98958074223685</v>
      </c>
      <c r="X211" s="378"/>
      <c r="Y211" s="369"/>
      <c r="Z211" s="371">
        <f t="shared" si="18"/>
        <v>8.7416100000000004E-3</v>
      </c>
      <c r="AA211" s="371">
        <f t="shared" si="19"/>
        <v>0</v>
      </c>
      <c r="AB211" s="372" t="str">
        <f t="shared" si="20"/>
        <v>N</v>
      </c>
      <c r="AC211" s="337">
        <v>105</v>
      </c>
      <c r="AD211" s="334"/>
      <c r="AE211" s="334"/>
      <c r="AF211" s="334"/>
      <c r="AG211" s="334"/>
      <c r="AH211" s="333"/>
      <c r="AI211" s="334"/>
      <c r="AJ211" s="365"/>
      <c r="AK211" s="366">
        <f t="shared" si="21"/>
        <v>104.5</v>
      </c>
      <c r="AL211" s="367">
        <f t="shared" si="26"/>
        <v>1621.1062330408813</v>
      </c>
      <c r="AM211" s="378"/>
      <c r="AN211" s="369"/>
      <c r="AO211" s="371">
        <f t="shared" si="22"/>
        <v>1.3451940000000001E-2</v>
      </c>
      <c r="AP211" s="371">
        <f t="shared" si="23"/>
        <v>0</v>
      </c>
      <c r="AQ211" s="372" t="str">
        <f t="shared" si="24"/>
        <v>N</v>
      </c>
      <c r="AR211" s="337">
        <v>105</v>
      </c>
      <c r="AS211" s="334"/>
      <c r="AT211" s="334"/>
      <c r="AU211" s="334"/>
      <c r="AV211" s="334"/>
      <c r="AW211" s="321"/>
    </row>
    <row r="212" spans="19:49">
      <c r="S212" s="321"/>
      <c r="T212" s="334"/>
      <c r="U212" s="365"/>
      <c r="V212" s="366">
        <f t="shared" si="17"/>
        <v>105.5</v>
      </c>
      <c r="W212" s="367">
        <f t="shared" si="25"/>
        <v>368.73779254818749</v>
      </c>
      <c r="X212" s="378"/>
      <c r="Y212" s="369"/>
      <c r="Z212" s="371">
        <f t="shared" si="18"/>
        <v>8.7416100000000004E-3</v>
      </c>
      <c r="AA212" s="371">
        <f t="shared" si="19"/>
        <v>0</v>
      </c>
      <c r="AB212" s="372" t="str">
        <f t="shared" si="20"/>
        <v>N</v>
      </c>
      <c r="AC212" s="337">
        <v>106</v>
      </c>
      <c r="AD212" s="334"/>
      <c r="AE212" s="334"/>
      <c r="AF212" s="334"/>
      <c r="AG212" s="334"/>
      <c r="AH212" s="333"/>
      <c r="AI212" s="334"/>
      <c r="AJ212" s="365"/>
      <c r="AK212" s="366">
        <f t="shared" si="21"/>
        <v>105.5</v>
      </c>
      <c r="AL212" s="367">
        <f t="shared" si="26"/>
        <v>1599.2991978934053</v>
      </c>
      <c r="AM212" s="378"/>
      <c r="AN212" s="369"/>
      <c r="AO212" s="371">
        <f t="shared" si="22"/>
        <v>1.3451940000000001E-2</v>
      </c>
      <c r="AP212" s="371">
        <f t="shared" si="23"/>
        <v>0</v>
      </c>
      <c r="AQ212" s="372" t="str">
        <f t="shared" si="24"/>
        <v>N</v>
      </c>
      <c r="AR212" s="337">
        <v>106</v>
      </c>
      <c r="AS212" s="334"/>
      <c r="AT212" s="334"/>
      <c r="AU212" s="334"/>
      <c r="AV212" s="334"/>
      <c r="AW212" s="321"/>
    </row>
    <row r="213" spans="19:49">
      <c r="S213" s="321"/>
      <c r="T213" s="334"/>
      <c r="U213" s="365"/>
      <c r="V213" s="366">
        <f t="shared" si="17"/>
        <v>106.5</v>
      </c>
      <c r="W213" s="367">
        <f t="shared" si="25"/>
        <v>365.51443022143758</v>
      </c>
      <c r="X213" s="378"/>
      <c r="Y213" s="369"/>
      <c r="Z213" s="371">
        <f t="shared" si="18"/>
        <v>8.7416100000000004E-3</v>
      </c>
      <c r="AA213" s="371">
        <f t="shared" si="19"/>
        <v>0</v>
      </c>
      <c r="AB213" s="372" t="str">
        <f t="shared" si="20"/>
        <v>N</v>
      </c>
      <c r="AC213" s="337">
        <v>107</v>
      </c>
      <c r="AD213" s="334"/>
      <c r="AE213" s="334"/>
      <c r="AF213" s="334"/>
      <c r="AG213" s="334"/>
      <c r="AH213" s="333"/>
      <c r="AI213" s="334"/>
      <c r="AJ213" s="365"/>
      <c r="AK213" s="366">
        <f t="shared" si="21"/>
        <v>106.5</v>
      </c>
      <c r="AL213" s="367">
        <f t="shared" si="26"/>
        <v>1577.7855098272187</v>
      </c>
      <c r="AM213" s="378"/>
      <c r="AN213" s="369"/>
      <c r="AO213" s="371">
        <f t="shared" si="22"/>
        <v>1.3451940000000001E-2</v>
      </c>
      <c r="AP213" s="371">
        <f t="shared" si="23"/>
        <v>0</v>
      </c>
      <c r="AQ213" s="372" t="str">
        <f t="shared" si="24"/>
        <v>N</v>
      </c>
      <c r="AR213" s="337">
        <v>107</v>
      </c>
      <c r="AS213" s="334"/>
      <c r="AT213" s="334"/>
      <c r="AU213" s="334"/>
      <c r="AV213" s="334"/>
      <c r="AW213" s="321"/>
    </row>
    <row r="214" spans="19:49" ht="15.05" thickBot="1">
      <c r="S214" s="321"/>
      <c r="T214" s="334"/>
      <c r="U214" s="373">
        <f>1+U202</f>
        <v>9</v>
      </c>
      <c r="V214" s="374">
        <f t="shared" si="17"/>
        <v>107.5</v>
      </c>
      <c r="W214" s="367">
        <f t="shared" si="25"/>
        <v>362.31924527411417</v>
      </c>
      <c r="X214" s="375">
        <f>SUM(W203:W214)</f>
        <v>4565.0369283168793</v>
      </c>
      <c r="Y214" s="376">
        <f>-(X214/X202-1)</f>
        <v>9.8973975979475548E-2</v>
      </c>
      <c r="Z214" s="371">
        <f t="shared" si="18"/>
        <v>8.7416100000000004E-3</v>
      </c>
      <c r="AA214" s="371">
        <f t="shared" si="19"/>
        <v>0</v>
      </c>
      <c r="AB214" s="372" t="str">
        <f t="shared" si="20"/>
        <v>N</v>
      </c>
      <c r="AC214" s="337">
        <v>108</v>
      </c>
      <c r="AD214" s="334"/>
      <c r="AE214" s="334"/>
      <c r="AF214" s="334"/>
      <c r="AG214" s="334"/>
      <c r="AH214" s="333"/>
      <c r="AI214" s="334"/>
      <c r="AJ214" s="373">
        <f>1+AJ202</f>
        <v>9</v>
      </c>
      <c r="AK214" s="374">
        <f t="shared" si="21"/>
        <v>107.5</v>
      </c>
      <c r="AL214" s="367">
        <f t="shared" si="26"/>
        <v>1556.5612227529282</v>
      </c>
      <c r="AM214" s="375">
        <f>SUM(AL203:AL214)</f>
        <v>20145.202452965088</v>
      </c>
      <c r="AN214" s="376">
        <f>-(AM214/AM202-1)</f>
        <v>0.15000000000000013</v>
      </c>
      <c r="AO214" s="371">
        <f t="shared" si="22"/>
        <v>1.3451940000000001E-2</v>
      </c>
      <c r="AP214" s="371">
        <f t="shared" si="23"/>
        <v>0</v>
      </c>
      <c r="AQ214" s="372" t="str">
        <f t="shared" si="24"/>
        <v>N</v>
      </c>
      <c r="AR214" s="337">
        <v>108</v>
      </c>
      <c r="AS214" s="334"/>
      <c r="AT214" s="334"/>
      <c r="AU214" s="334"/>
      <c r="AV214" s="334"/>
      <c r="AW214" s="321"/>
    </row>
    <row r="215" spans="19:49">
      <c r="S215" s="321"/>
      <c r="T215" s="334"/>
      <c r="U215" s="365"/>
      <c r="V215" s="366">
        <f t="shared" si="17"/>
        <v>108.5</v>
      </c>
      <c r="W215" s="377">
        <f t="shared" si="25"/>
        <v>359.15199139052851</v>
      </c>
      <c r="X215" s="378"/>
      <c r="Y215" s="369"/>
      <c r="Z215" s="371">
        <f t="shared" si="18"/>
        <v>8.7416100000000004E-3</v>
      </c>
      <c r="AA215" s="371">
        <f t="shared" si="19"/>
        <v>0</v>
      </c>
      <c r="AB215" s="372" t="str">
        <f t="shared" si="20"/>
        <v>N</v>
      </c>
      <c r="AC215" s="337">
        <v>109</v>
      </c>
      <c r="AD215" s="334"/>
      <c r="AE215" s="334"/>
      <c r="AF215" s="334"/>
      <c r="AG215" s="334"/>
      <c r="AH215" s="333"/>
      <c r="AI215" s="334"/>
      <c r="AJ215" s="365"/>
      <c r="AK215" s="366">
        <f t="shared" si="21"/>
        <v>108.5</v>
      </c>
      <c r="AL215" s="377">
        <f t="shared" si="26"/>
        <v>1535.622443663726</v>
      </c>
      <c r="AM215" s="378"/>
      <c r="AN215" s="369"/>
      <c r="AO215" s="371">
        <f t="shared" si="22"/>
        <v>1.3451940000000001E-2</v>
      </c>
      <c r="AP215" s="371">
        <f t="shared" si="23"/>
        <v>0</v>
      </c>
      <c r="AQ215" s="372" t="str">
        <f t="shared" si="24"/>
        <v>N</v>
      </c>
      <c r="AR215" s="337">
        <v>109</v>
      </c>
      <c r="AS215" s="334"/>
      <c r="AT215" s="334"/>
      <c r="AU215" s="334"/>
      <c r="AV215" s="334"/>
      <c r="AW215" s="321"/>
    </row>
    <row r="216" spans="19:49">
      <c r="S216" s="321"/>
      <c r="T216" s="334"/>
      <c r="U216" s="365"/>
      <c r="V216" s="366">
        <f t="shared" si="17"/>
        <v>109.5</v>
      </c>
      <c r="W216" s="367">
        <f t="shared" si="25"/>
        <v>356.01242440818788</v>
      </c>
      <c r="X216" s="378"/>
      <c r="Y216" s="369"/>
      <c r="Z216" s="371">
        <f t="shared" si="18"/>
        <v>8.7416100000000004E-3</v>
      </c>
      <c r="AA216" s="371">
        <f t="shared" si="19"/>
        <v>0</v>
      </c>
      <c r="AB216" s="372" t="str">
        <f t="shared" si="20"/>
        <v>N</v>
      </c>
      <c r="AC216" s="337">
        <v>110</v>
      </c>
      <c r="AD216" s="334"/>
      <c r="AE216" s="334"/>
      <c r="AF216" s="334"/>
      <c r="AG216" s="334"/>
      <c r="AH216" s="333"/>
      <c r="AI216" s="334"/>
      <c r="AJ216" s="365"/>
      <c r="AK216" s="366">
        <f t="shared" si="21"/>
        <v>109.5</v>
      </c>
      <c r="AL216" s="367">
        <f t="shared" si="26"/>
        <v>1514.9653319213251</v>
      </c>
      <c r="AM216" s="378"/>
      <c r="AN216" s="369"/>
      <c r="AO216" s="371">
        <f t="shared" si="22"/>
        <v>1.3451940000000001E-2</v>
      </c>
      <c r="AP216" s="371">
        <f t="shared" si="23"/>
        <v>0</v>
      </c>
      <c r="AQ216" s="372" t="str">
        <f t="shared" si="24"/>
        <v>N</v>
      </c>
      <c r="AR216" s="337">
        <v>110</v>
      </c>
      <c r="AS216" s="334"/>
      <c r="AT216" s="334"/>
      <c r="AU216" s="334"/>
      <c r="AV216" s="334"/>
      <c r="AW216" s="321"/>
    </row>
    <row r="217" spans="19:49">
      <c r="S217" s="321"/>
      <c r="T217" s="334"/>
      <c r="U217" s="365"/>
      <c r="V217" s="366">
        <f t="shared" si="17"/>
        <v>110.5</v>
      </c>
      <c r="W217" s="367">
        <f t="shared" si="25"/>
        <v>352.9003022989732</v>
      </c>
      <c r="X217" s="378"/>
      <c r="Y217" s="369"/>
      <c r="Z217" s="371">
        <f t="shared" si="18"/>
        <v>8.7416100000000004E-3</v>
      </c>
      <c r="AA217" s="371">
        <f t="shared" si="19"/>
        <v>0</v>
      </c>
      <c r="AB217" s="372" t="str">
        <f t="shared" si="20"/>
        <v>N</v>
      </c>
      <c r="AC217" s="337">
        <v>111</v>
      </c>
      <c r="AD217" s="334"/>
      <c r="AE217" s="334"/>
      <c r="AF217" s="334"/>
      <c r="AG217" s="334"/>
      <c r="AH217" s="333"/>
      <c r="AI217" s="334"/>
      <c r="AJ217" s="365"/>
      <c r="AK217" s="366">
        <f t="shared" si="21"/>
        <v>110.5</v>
      </c>
      <c r="AL217" s="367">
        <f t="shared" si="26"/>
        <v>1494.5860985515012</v>
      </c>
      <c r="AM217" s="378"/>
      <c r="AN217" s="369"/>
      <c r="AO217" s="371">
        <f t="shared" si="22"/>
        <v>1.3451940000000001E-2</v>
      </c>
      <c r="AP217" s="371">
        <f t="shared" si="23"/>
        <v>0</v>
      </c>
      <c r="AQ217" s="372" t="str">
        <f t="shared" si="24"/>
        <v>N</v>
      </c>
      <c r="AR217" s="337">
        <v>111</v>
      </c>
      <c r="AS217" s="334"/>
      <c r="AT217" s="334"/>
      <c r="AU217" s="334"/>
      <c r="AV217" s="334"/>
      <c r="AW217" s="321"/>
    </row>
    <row r="218" spans="19:49">
      <c r="S218" s="321"/>
      <c r="T218" s="334"/>
      <c r="U218" s="365"/>
      <c r="V218" s="366">
        <f t="shared" si="17"/>
        <v>111.5</v>
      </c>
      <c r="W218" s="367">
        <f t="shared" si="25"/>
        <v>349.81538515048072</v>
      </c>
      <c r="X218" s="378"/>
      <c r="Y218" s="369"/>
      <c r="Z218" s="371">
        <f t="shared" si="18"/>
        <v>8.7416100000000004E-3</v>
      </c>
      <c r="AA218" s="371">
        <f t="shared" si="19"/>
        <v>0</v>
      </c>
      <c r="AB218" s="372" t="str">
        <f t="shared" si="20"/>
        <v>N</v>
      </c>
      <c r="AC218" s="337">
        <v>112</v>
      </c>
      <c r="AD218" s="334"/>
      <c r="AE218" s="334"/>
      <c r="AF218" s="334"/>
      <c r="AG218" s="334"/>
      <c r="AH218" s="333"/>
      <c r="AI218" s="334"/>
      <c r="AJ218" s="365"/>
      <c r="AK218" s="366">
        <f t="shared" si="21"/>
        <v>111.5</v>
      </c>
      <c r="AL218" s="367">
        <f t="shared" si="26"/>
        <v>1474.4810055491105</v>
      </c>
      <c r="AM218" s="378"/>
      <c r="AN218" s="369"/>
      <c r="AO218" s="371">
        <f t="shared" si="22"/>
        <v>1.3451940000000001E-2</v>
      </c>
      <c r="AP218" s="371">
        <f t="shared" si="23"/>
        <v>0</v>
      </c>
      <c r="AQ218" s="372" t="str">
        <f t="shared" si="24"/>
        <v>N</v>
      </c>
      <c r="AR218" s="337">
        <v>112</v>
      </c>
      <c r="AS218" s="334"/>
      <c r="AT218" s="334"/>
      <c r="AU218" s="334"/>
      <c r="AV218" s="334"/>
      <c r="AW218" s="321"/>
    </row>
    <row r="219" spans="19:49">
      <c r="S219" s="321"/>
      <c r="T219" s="334"/>
      <c r="U219" s="365"/>
      <c r="V219" s="366">
        <f t="shared" si="17"/>
        <v>112.5</v>
      </c>
      <c r="W219" s="367">
        <f t="shared" si="25"/>
        <v>346.75743514752781</v>
      </c>
      <c r="X219" s="378"/>
      <c r="Y219" s="369"/>
      <c r="Z219" s="371">
        <f t="shared" si="18"/>
        <v>8.7416100000000004E-3</v>
      </c>
      <c r="AA219" s="371">
        <f t="shared" si="19"/>
        <v>0</v>
      </c>
      <c r="AB219" s="372" t="str">
        <f t="shared" si="20"/>
        <v>N</v>
      </c>
      <c r="AC219" s="337">
        <v>113</v>
      </c>
      <c r="AD219" s="334"/>
      <c r="AE219" s="334"/>
      <c r="AF219" s="334"/>
      <c r="AG219" s="334"/>
      <c r="AH219" s="333"/>
      <c r="AI219" s="334"/>
      <c r="AJ219" s="365"/>
      <c r="AK219" s="366">
        <f t="shared" si="21"/>
        <v>112.5</v>
      </c>
      <c r="AL219" s="367">
        <f t="shared" si="26"/>
        <v>1454.6463651924564</v>
      </c>
      <c r="AM219" s="378"/>
      <c r="AN219" s="369"/>
      <c r="AO219" s="371">
        <f t="shared" si="22"/>
        <v>1.3451940000000001E-2</v>
      </c>
      <c r="AP219" s="371">
        <f t="shared" si="23"/>
        <v>0</v>
      </c>
      <c r="AQ219" s="372" t="str">
        <f t="shared" si="24"/>
        <v>N</v>
      </c>
      <c r="AR219" s="337">
        <v>113</v>
      </c>
      <c r="AS219" s="334"/>
      <c r="AT219" s="334"/>
      <c r="AU219" s="334"/>
      <c r="AV219" s="334"/>
      <c r="AW219" s="321"/>
    </row>
    <row r="220" spans="19:49">
      <c r="S220" s="321"/>
      <c r="T220" s="334"/>
      <c r="U220" s="365"/>
      <c r="V220" s="366">
        <f t="shared" si="17"/>
        <v>113.5</v>
      </c>
      <c r="W220" s="367">
        <f t="shared" si="25"/>
        <v>343.72621655381965</v>
      </c>
      <c r="X220" s="378"/>
      <c r="Y220" s="369"/>
      <c r="Z220" s="371">
        <f t="shared" si="18"/>
        <v>8.7416100000000004E-3</v>
      </c>
      <c r="AA220" s="371">
        <f t="shared" si="19"/>
        <v>0</v>
      </c>
      <c r="AB220" s="372" t="str">
        <f t="shared" si="20"/>
        <v>N</v>
      </c>
      <c r="AC220" s="337">
        <v>114</v>
      </c>
      <c r="AD220" s="334"/>
      <c r="AE220" s="334"/>
      <c r="AF220" s="334"/>
      <c r="AG220" s="334"/>
      <c r="AH220" s="333"/>
      <c r="AI220" s="334"/>
      <c r="AJ220" s="365"/>
      <c r="AK220" s="366">
        <f t="shared" si="21"/>
        <v>113.5</v>
      </c>
      <c r="AL220" s="367">
        <f t="shared" si="26"/>
        <v>1435.0785393668798</v>
      </c>
      <c r="AM220" s="378"/>
      <c r="AN220" s="369"/>
      <c r="AO220" s="371">
        <f t="shared" si="22"/>
        <v>1.3451940000000001E-2</v>
      </c>
      <c r="AP220" s="371">
        <f t="shared" si="23"/>
        <v>0</v>
      </c>
      <c r="AQ220" s="372" t="str">
        <f t="shared" si="24"/>
        <v>N</v>
      </c>
      <c r="AR220" s="337">
        <v>114</v>
      </c>
      <c r="AS220" s="334"/>
      <c r="AT220" s="334"/>
      <c r="AU220" s="334"/>
      <c r="AV220" s="334"/>
      <c r="AW220" s="321"/>
    </row>
    <row r="221" spans="19:49">
      <c r="S221" s="321"/>
      <c r="T221" s="334"/>
      <c r="U221" s="365"/>
      <c r="V221" s="366">
        <f t="shared" si="17"/>
        <v>114.5</v>
      </c>
      <c r="W221" s="367">
        <f t="shared" si="25"/>
        <v>340.72149569377632</v>
      </c>
      <c r="X221" s="378"/>
      <c r="Y221" s="369"/>
      <c r="Z221" s="371">
        <f t="shared" si="18"/>
        <v>8.7416100000000004E-3</v>
      </c>
      <c r="AA221" s="371">
        <f t="shared" si="19"/>
        <v>0</v>
      </c>
      <c r="AB221" s="372" t="str">
        <f t="shared" si="20"/>
        <v>N</v>
      </c>
      <c r="AC221" s="337">
        <v>115</v>
      </c>
      <c r="AD221" s="334"/>
      <c r="AE221" s="334"/>
      <c r="AF221" s="334"/>
      <c r="AG221" s="334"/>
      <c r="AH221" s="333"/>
      <c r="AI221" s="334"/>
      <c r="AJ221" s="365"/>
      <c r="AK221" s="366">
        <f t="shared" si="21"/>
        <v>114.5</v>
      </c>
      <c r="AL221" s="367">
        <f t="shared" si="26"/>
        <v>1415.7739388974464</v>
      </c>
      <c r="AM221" s="378"/>
      <c r="AN221" s="369"/>
      <c r="AO221" s="371">
        <f t="shared" si="22"/>
        <v>1.3451940000000001E-2</v>
      </c>
      <c r="AP221" s="371">
        <f t="shared" si="23"/>
        <v>0</v>
      </c>
      <c r="AQ221" s="372" t="str">
        <f t="shared" si="24"/>
        <v>N</v>
      </c>
      <c r="AR221" s="337">
        <v>115</v>
      </c>
      <c r="AS221" s="334"/>
      <c r="AT221" s="334"/>
      <c r="AU221" s="334"/>
      <c r="AV221" s="334"/>
      <c r="AW221" s="321"/>
    </row>
    <row r="222" spans="19:49">
      <c r="S222" s="321"/>
      <c r="T222" s="334"/>
      <c r="U222" s="365"/>
      <c r="V222" s="366">
        <f t="shared" si="17"/>
        <v>115.5</v>
      </c>
      <c r="W222" s="367">
        <f t="shared" si="25"/>
        <v>337.74304093451894</v>
      </c>
      <c r="X222" s="378"/>
      <c r="Y222" s="369"/>
      <c r="Z222" s="371">
        <f t="shared" si="18"/>
        <v>8.7416100000000004E-3</v>
      </c>
      <c r="AA222" s="371">
        <f t="shared" si="19"/>
        <v>0</v>
      </c>
      <c r="AB222" s="372" t="str">
        <f t="shared" si="20"/>
        <v>N</v>
      </c>
      <c r="AC222" s="337">
        <v>116</v>
      </c>
      <c r="AD222" s="334"/>
      <c r="AE222" s="334"/>
      <c r="AF222" s="334"/>
      <c r="AG222" s="334"/>
      <c r="AH222" s="333"/>
      <c r="AI222" s="334"/>
      <c r="AJ222" s="365"/>
      <c r="AK222" s="366">
        <f t="shared" si="21"/>
        <v>115.5</v>
      </c>
      <c r="AL222" s="367">
        <f t="shared" si="26"/>
        <v>1396.7290228906131</v>
      </c>
      <c r="AM222" s="378"/>
      <c r="AN222" s="369"/>
      <c r="AO222" s="371">
        <f t="shared" si="22"/>
        <v>1.3451940000000001E-2</v>
      </c>
      <c r="AP222" s="371">
        <f t="shared" si="23"/>
        <v>0</v>
      </c>
      <c r="AQ222" s="372" t="str">
        <f t="shared" si="24"/>
        <v>N</v>
      </c>
      <c r="AR222" s="337">
        <v>116</v>
      </c>
      <c r="AS222" s="334"/>
      <c r="AT222" s="334"/>
      <c r="AU222" s="334"/>
      <c r="AV222" s="334"/>
      <c r="AW222" s="321"/>
    </row>
    <row r="223" spans="19:49">
      <c r="S223" s="321"/>
      <c r="T223" s="334"/>
      <c r="U223" s="365"/>
      <c r="V223" s="366">
        <f t="shared" si="17"/>
        <v>116.5</v>
      </c>
      <c r="W223" s="367">
        <f t="shared" si="25"/>
        <v>334.79062266801321</v>
      </c>
      <c r="X223" s="378"/>
      <c r="Y223" s="369"/>
      <c r="Z223" s="371">
        <f t="shared" si="18"/>
        <v>8.7416100000000004E-3</v>
      </c>
      <c r="AA223" s="371">
        <f t="shared" si="19"/>
        <v>0</v>
      </c>
      <c r="AB223" s="372" t="str">
        <f t="shared" si="20"/>
        <v>N</v>
      </c>
      <c r="AC223" s="337">
        <v>117</v>
      </c>
      <c r="AD223" s="334"/>
      <c r="AE223" s="334"/>
      <c r="AF223" s="334"/>
      <c r="AG223" s="334"/>
      <c r="AH223" s="333"/>
      <c r="AI223" s="334"/>
      <c r="AJ223" s="365"/>
      <c r="AK223" s="366">
        <f t="shared" si="21"/>
        <v>116.5</v>
      </c>
      <c r="AL223" s="367">
        <f t="shared" si="26"/>
        <v>1377.9402980847492</v>
      </c>
      <c r="AM223" s="378"/>
      <c r="AN223" s="369"/>
      <c r="AO223" s="371">
        <f t="shared" si="22"/>
        <v>1.3451940000000001E-2</v>
      </c>
      <c r="AP223" s="371">
        <f t="shared" si="23"/>
        <v>0</v>
      </c>
      <c r="AQ223" s="372" t="str">
        <f t="shared" si="24"/>
        <v>N</v>
      </c>
      <c r="AR223" s="337">
        <v>117</v>
      </c>
      <c r="AS223" s="334"/>
      <c r="AT223" s="334"/>
      <c r="AU223" s="334"/>
      <c r="AV223" s="334"/>
      <c r="AW223" s="321"/>
    </row>
    <row r="224" spans="19:49">
      <c r="S224" s="321"/>
      <c r="T224" s="334"/>
      <c r="U224" s="365"/>
      <c r="V224" s="366">
        <f t="shared" si="17"/>
        <v>117.5</v>
      </c>
      <c r="W224" s="367">
        <f t="shared" si="25"/>
        <v>331.86401329336877</v>
      </c>
      <c r="X224" s="378"/>
      <c r="Y224" s="369"/>
      <c r="Z224" s="371">
        <f t="shared" si="18"/>
        <v>8.7416100000000004E-3</v>
      </c>
      <c r="AA224" s="371">
        <f t="shared" si="19"/>
        <v>0</v>
      </c>
      <c r="AB224" s="372" t="str">
        <f t="shared" si="20"/>
        <v>N</v>
      </c>
      <c r="AC224" s="337">
        <v>118</v>
      </c>
      <c r="AD224" s="334"/>
      <c r="AE224" s="334"/>
      <c r="AF224" s="334"/>
      <c r="AG224" s="334"/>
      <c r="AH224" s="333"/>
      <c r="AI224" s="334"/>
      <c r="AJ224" s="365"/>
      <c r="AK224" s="366">
        <f t="shared" si="21"/>
        <v>117.5</v>
      </c>
      <c r="AL224" s="367">
        <f t="shared" si="26"/>
        <v>1359.4043182093942</v>
      </c>
      <c r="AM224" s="378"/>
      <c r="AN224" s="369"/>
      <c r="AO224" s="371">
        <f t="shared" si="22"/>
        <v>1.3451940000000001E-2</v>
      </c>
      <c r="AP224" s="371">
        <f t="shared" si="23"/>
        <v>0</v>
      </c>
      <c r="AQ224" s="372" t="str">
        <f t="shared" si="24"/>
        <v>N</v>
      </c>
      <c r="AR224" s="337">
        <v>118</v>
      </c>
      <c r="AS224" s="334"/>
      <c r="AT224" s="334"/>
      <c r="AU224" s="334"/>
      <c r="AV224" s="334"/>
      <c r="AW224" s="321"/>
    </row>
    <row r="225" spans="19:49">
      <c r="S225" s="321"/>
      <c r="T225" s="334"/>
      <c r="U225" s="365"/>
      <c r="V225" s="366">
        <f t="shared" si="17"/>
        <v>118.5</v>
      </c>
      <c r="W225" s="367">
        <f t="shared" si="25"/>
        <v>328.96298719929382</v>
      </c>
      <c r="X225" s="378"/>
      <c r="Y225" s="369"/>
      <c r="Z225" s="371">
        <f t="shared" si="18"/>
        <v>8.7416100000000004E-3</v>
      </c>
      <c r="AA225" s="371">
        <f t="shared" si="19"/>
        <v>0</v>
      </c>
      <c r="AB225" s="372" t="str">
        <f t="shared" si="20"/>
        <v>N</v>
      </c>
      <c r="AC225" s="337">
        <v>119</v>
      </c>
      <c r="AD225" s="334"/>
      <c r="AE225" s="334"/>
      <c r="AF225" s="334"/>
      <c r="AG225" s="334"/>
      <c r="AH225" s="333"/>
      <c r="AI225" s="334"/>
      <c r="AJ225" s="365"/>
      <c r="AK225" s="366">
        <f t="shared" si="21"/>
        <v>118.5</v>
      </c>
      <c r="AL225" s="367">
        <f t="shared" si="26"/>
        <v>1341.1176833531358</v>
      </c>
      <c r="AM225" s="378"/>
      <c r="AN225" s="369"/>
      <c r="AO225" s="371">
        <f t="shared" si="22"/>
        <v>1.3451940000000001E-2</v>
      </c>
      <c r="AP225" s="371">
        <f t="shared" si="23"/>
        <v>0</v>
      </c>
      <c r="AQ225" s="372" t="str">
        <f t="shared" si="24"/>
        <v>N</v>
      </c>
      <c r="AR225" s="337">
        <v>119</v>
      </c>
      <c r="AS225" s="334"/>
      <c r="AT225" s="334"/>
      <c r="AU225" s="334"/>
      <c r="AV225" s="334"/>
      <c r="AW225" s="321"/>
    </row>
    <row r="226" spans="19:49" ht="15.05" thickBot="1">
      <c r="S226" s="321"/>
      <c r="T226" s="334"/>
      <c r="U226" s="373">
        <f>1+U214</f>
        <v>10</v>
      </c>
      <c r="V226" s="374">
        <f t="shared" si="17"/>
        <v>119.5</v>
      </c>
      <c r="W226" s="367">
        <f t="shared" si="25"/>
        <v>326.08732074670274</v>
      </c>
      <c r="X226" s="375">
        <f>SUM(W215:W226)</f>
        <v>4108.5332354851917</v>
      </c>
      <c r="Y226" s="376">
        <f>-(X226/X214-1)</f>
        <v>9.9999999999999978E-2</v>
      </c>
      <c r="Z226" s="371">
        <f t="shared" si="18"/>
        <v>8.7416100000000004E-3</v>
      </c>
      <c r="AA226" s="371">
        <f t="shared" si="19"/>
        <v>0</v>
      </c>
      <c r="AB226" s="372" t="str">
        <f t="shared" si="20"/>
        <v>N</v>
      </c>
      <c r="AC226" s="337">
        <v>120</v>
      </c>
      <c r="AD226" s="334"/>
      <c r="AE226" s="334"/>
      <c r="AF226" s="334"/>
      <c r="AG226" s="334"/>
      <c r="AH226" s="333"/>
      <c r="AI226" s="334"/>
      <c r="AJ226" s="373">
        <f>1+AJ214</f>
        <v>10</v>
      </c>
      <c r="AK226" s="374">
        <f t="shared" si="21"/>
        <v>119.5</v>
      </c>
      <c r="AL226" s="367">
        <f t="shared" si="26"/>
        <v>1323.0770393399889</v>
      </c>
      <c r="AM226" s="375">
        <f>SUM(AL215:AL226)</f>
        <v>17123.422085020327</v>
      </c>
      <c r="AN226" s="376">
        <f>-(AM226/AM214-1)</f>
        <v>0.14999999999999991</v>
      </c>
      <c r="AO226" s="371">
        <f t="shared" si="22"/>
        <v>1.3451940000000001E-2</v>
      </c>
      <c r="AP226" s="371">
        <f t="shared" si="23"/>
        <v>0</v>
      </c>
      <c r="AQ226" s="372" t="str">
        <f t="shared" si="24"/>
        <v>N</v>
      </c>
      <c r="AR226" s="337">
        <v>120</v>
      </c>
      <c r="AS226" s="334"/>
      <c r="AT226" s="334"/>
      <c r="AU226" s="334"/>
      <c r="AV226" s="334"/>
      <c r="AW226" s="321"/>
    </row>
    <row r="227" spans="19:49">
      <c r="S227" s="321"/>
      <c r="T227" s="334"/>
      <c r="U227" s="365"/>
      <c r="V227" s="366">
        <f t="shared" si="17"/>
        <v>120.5</v>
      </c>
      <c r="W227" s="377">
        <f t="shared" si="25"/>
        <v>323.23679225147566</v>
      </c>
      <c r="X227" s="378"/>
      <c r="Y227" s="369"/>
      <c r="Z227" s="371">
        <f t="shared" si="18"/>
        <v>8.7416100000000004E-3</v>
      </c>
      <c r="AA227" s="371">
        <f t="shared" si="19"/>
        <v>0</v>
      </c>
      <c r="AB227" s="372" t="str">
        <f t="shared" si="20"/>
        <v>N</v>
      </c>
      <c r="AC227" s="337">
        <v>121</v>
      </c>
      <c r="AD227" s="334"/>
      <c r="AE227" s="334"/>
      <c r="AF227" s="334"/>
      <c r="AG227" s="334"/>
      <c r="AH227" s="333"/>
      <c r="AI227" s="334"/>
      <c r="AJ227" s="365"/>
      <c r="AK227" s="366">
        <f t="shared" si="21"/>
        <v>120.5</v>
      </c>
      <c r="AL227" s="377">
        <f t="shared" si="26"/>
        <v>1305.279077114167</v>
      </c>
      <c r="AM227" s="378"/>
      <c r="AN227" s="369"/>
      <c r="AO227" s="371">
        <f t="shared" si="22"/>
        <v>1.3451940000000001E-2</v>
      </c>
      <c r="AP227" s="371">
        <f t="shared" si="23"/>
        <v>0</v>
      </c>
      <c r="AQ227" s="372" t="str">
        <f t="shared" si="24"/>
        <v>N</v>
      </c>
      <c r="AR227" s="337">
        <v>121</v>
      </c>
      <c r="AS227" s="334"/>
      <c r="AT227" s="334"/>
      <c r="AU227" s="334"/>
      <c r="AV227" s="334"/>
      <c r="AW227" s="321"/>
    </row>
    <row r="228" spans="19:49">
      <c r="S228" s="321"/>
      <c r="T228" s="334"/>
      <c r="U228" s="365"/>
      <c r="V228" s="366">
        <f t="shared" si="17"/>
        <v>121.5</v>
      </c>
      <c r="W228" s="367">
        <f t="shared" si="25"/>
        <v>320.41118196736909</v>
      </c>
      <c r="X228" s="378"/>
      <c r="Y228" s="369"/>
      <c r="Z228" s="371">
        <f t="shared" si="18"/>
        <v>8.7416100000000004E-3</v>
      </c>
      <c r="AA228" s="371">
        <f t="shared" si="19"/>
        <v>0</v>
      </c>
      <c r="AB228" s="372" t="str">
        <f t="shared" si="20"/>
        <v>N</v>
      </c>
      <c r="AC228" s="337">
        <v>122</v>
      </c>
      <c r="AD228" s="334"/>
      <c r="AE228" s="334"/>
      <c r="AF228" s="334"/>
      <c r="AG228" s="334"/>
      <c r="AH228" s="333"/>
      <c r="AI228" s="334"/>
      <c r="AJ228" s="365"/>
      <c r="AK228" s="366">
        <f t="shared" si="21"/>
        <v>121.5</v>
      </c>
      <c r="AL228" s="367">
        <f t="shared" si="26"/>
        <v>1287.7205321331262</v>
      </c>
      <c r="AM228" s="378"/>
      <c r="AN228" s="369"/>
      <c r="AO228" s="371">
        <f t="shared" si="22"/>
        <v>1.3451940000000001E-2</v>
      </c>
      <c r="AP228" s="371">
        <f t="shared" si="23"/>
        <v>0</v>
      </c>
      <c r="AQ228" s="372" t="str">
        <f t="shared" si="24"/>
        <v>N</v>
      </c>
      <c r="AR228" s="337">
        <v>122</v>
      </c>
      <c r="AS228" s="334"/>
      <c r="AT228" s="334"/>
      <c r="AU228" s="334"/>
      <c r="AV228" s="334"/>
      <c r="AW228" s="321"/>
    </row>
    <row r="229" spans="19:49">
      <c r="S229" s="321"/>
      <c r="T229" s="334"/>
      <c r="U229" s="365"/>
      <c r="V229" s="366">
        <f t="shared" si="17"/>
        <v>122.5</v>
      </c>
      <c r="W229" s="367">
        <f t="shared" si="25"/>
        <v>317.61027206907585</v>
      </c>
      <c r="X229" s="378"/>
      <c r="Y229" s="369"/>
      <c r="Z229" s="371">
        <f t="shared" si="18"/>
        <v>8.7416100000000004E-3</v>
      </c>
      <c r="AA229" s="371">
        <f t="shared" si="19"/>
        <v>0</v>
      </c>
      <c r="AB229" s="372" t="str">
        <f t="shared" si="20"/>
        <v>N</v>
      </c>
      <c r="AC229" s="337">
        <v>123</v>
      </c>
      <c r="AD229" s="334"/>
      <c r="AE229" s="334"/>
      <c r="AF229" s="334"/>
      <c r="AG229" s="334"/>
      <c r="AH229" s="333"/>
      <c r="AI229" s="334"/>
      <c r="AJ229" s="365"/>
      <c r="AK229" s="366">
        <f t="shared" si="21"/>
        <v>122.5</v>
      </c>
      <c r="AL229" s="367">
        <f t="shared" si="26"/>
        <v>1270.3981837687759</v>
      </c>
      <c r="AM229" s="378"/>
      <c r="AN229" s="369"/>
      <c r="AO229" s="371">
        <f t="shared" si="22"/>
        <v>1.3451940000000001E-2</v>
      </c>
      <c r="AP229" s="371">
        <f t="shared" si="23"/>
        <v>0</v>
      </c>
      <c r="AQ229" s="372" t="str">
        <f t="shared" si="24"/>
        <v>N</v>
      </c>
      <c r="AR229" s="337">
        <v>123</v>
      </c>
      <c r="AS229" s="334"/>
      <c r="AT229" s="334"/>
      <c r="AU229" s="334"/>
      <c r="AV229" s="334"/>
      <c r="AW229" s="321"/>
    </row>
    <row r="230" spans="19:49">
      <c r="S230" s="321"/>
      <c r="T230" s="334"/>
      <c r="U230" s="365"/>
      <c r="V230" s="366">
        <f t="shared" si="17"/>
        <v>123.5</v>
      </c>
      <c r="W230" s="367">
        <f t="shared" si="25"/>
        <v>314.83384663543262</v>
      </c>
      <c r="X230" s="378"/>
      <c r="Y230" s="369"/>
      <c r="Z230" s="371">
        <f t="shared" si="18"/>
        <v>8.7416100000000004E-3</v>
      </c>
      <c r="AA230" s="371">
        <f t="shared" si="19"/>
        <v>0</v>
      </c>
      <c r="AB230" s="372" t="str">
        <f t="shared" si="20"/>
        <v>N</v>
      </c>
      <c r="AC230" s="337">
        <v>124</v>
      </c>
      <c r="AD230" s="334"/>
      <c r="AE230" s="334"/>
      <c r="AF230" s="334"/>
      <c r="AG230" s="334"/>
      <c r="AH230" s="333"/>
      <c r="AI230" s="334"/>
      <c r="AJ230" s="365"/>
      <c r="AK230" s="366">
        <f t="shared" si="21"/>
        <v>123.5</v>
      </c>
      <c r="AL230" s="367">
        <f t="shared" si="26"/>
        <v>1253.3088547167438</v>
      </c>
      <c r="AM230" s="378"/>
      <c r="AN230" s="369"/>
      <c r="AO230" s="371">
        <f t="shared" si="22"/>
        <v>1.3451940000000001E-2</v>
      </c>
      <c r="AP230" s="371">
        <f t="shared" si="23"/>
        <v>0</v>
      </c>
      <c r="AQ230" s="372" t="str">
        <f t="shared" si="24"/>
        <v>N</v>
      </c>
      <c r="AR230" s="337">
        <v>124</v>
      </c>
      <c r="AS230" s="334"/>
      <c r="AT230" s="334"/>
      <c r="AU230" s="334"/>
      <c r="AV230" s="334"/>
      <c r="AW230" s="321"/>
    </row>
    <row r="231" spans="19:49">
      <c r="S231" s="321"/>
      <c r="T231" s="334"/>
      <c r="U231" s="365"/>
      <c r="V231" s="366">
        <f t="shared" si="17"/>
        <v>124.5</v>
      </c>
      <c r="W231" s="367">
        <f t="shared" si="25"/>
        <v>312.08169163277501</v>
      </c>
      <c r="X231" s="378"/>
      <c r="Y231" s="369"/>
      <c r="Z231" s="371">
        <f t="shared" si="18"/>
        <v>8.7416100000000004E-3</v>
      </c>
      <c r="AA231" s="371">
        <f t="shared" si="19"/>
        <v>0</v>
      </c>
      <c r="AB231" s="372" t="str">
        <f t="shared" si="20"/>
        <v>N</v>
      </c>
      <c r="AC231" s="337">
        <v>125</v>
      </c>
      <c r="AD231" s="334"/>
      <c r="AE231" s="334"/>
      <c r="AF231" s="334"/>
      <c r="AG231" s="334"/>
      <c r="AH231" s="333"/>
      <c r="AI231" s="334"/>
      <c r="AJ231" s="365"/>
      <c r="AK231" s="366">
        <f t="shared" si="21"/>
        <v>124.5</v>
      </c>
      <c r="AL231" s="367">
        <f t="shared" si="26"/>
        <v>1236.4494104135881</v>
      </c>
      <c r="AM231" s="378"/>
      <c r="AN231" s="369"/>
      <c r="AO231" s="371">
        <f t="shared" si="22"/>
        <v>1.3451940000000001E-2</v>
      </c>
      <c r="AP231" s="371">
        <f t="shared" si="23"/>
        <v>0</v>
      </c>
      <c r="AQ231" s="372" t="str">
        <f t="shared" si="24"/>
        <v>N</v>
      </c>
      <c r="AR231" s="337">
        <v>125</v>
      </c>
      <c r="AS231" s="334"/>
      <c r="AT231" s="334"/>
      <c r="AU231" s="334"/>
      <c r="AV231" s="334"/>
      <c r="AW231" s="321"/>
    </row>
    <row r="232" spans="19:49">
      <c r="S232" s="321"/>
      <c r="T232" s="334"/>
      <c r="U232" s="365"/>
      <c r="V232" s="366">
        <f t="shared" si="17"/>
        <v>125.5</v>
      </c>
      <c r="W232" s="367">
        <f t="shared" si="25"/>
        <v>309.35359489843768</v>
      </c>
      <c r="X232" s="378"/>
      <c r="Y232" s="369"/>
      <c r="Z232" s="371">
        <f t="shared" si="18"/>
        <v>8.7416100000000004E-3</v>
      </c>
      <c r="AA232" s="371">
        <f t="shared" si="19"/>
        <v>0</v>
      </c>
      <c r="AB232" s="372" t="str">
        <f t="shared" si="20"/>
        <v>N</v>
      </c>
      <c r="AC232" s="337">
        <v>126</v>
      </c>
      <c r="AD232" s="334"/>
      <c r="AE232" s="334"/>
      <c r="AF232" s="334"/>
      <c r="AG232" s="334"/>
      <c r="AH232" s="333"/>
      <c r="AI232" s="334"/>
      <c r="AJ232" s="365"/>
      <c r="AK232" s="366">
        <f t="shared" si="21"/>
        <v>125.5</v>
      </c>
      <c r="AL232" s="367">
        <f t="shared" si="26"/>
        <v>1219.8167584618479</v>
      </c>
      <c r="AM232" s="378"/>
      <c r="AN232" s="369"/>
      <c r="AO232" s="371">
        <f t="shared" si="22"/>
        <v>1.3451940000000001E-2</v>
      </c>
      <c r="AP232" s="371">
        <f t="shared" si="23"/>
        <v>0</v>
      </c>
      <c r="AQ232" s="372" t="str">
        <f t="shared" si="24"/>
        <v>N</v>
      </c>
      <c r="AR232" s="337">
        <v>126</v>
      </c>
      <c r="AS232" s="334"/>
      <c r="AT232" s="334"/>
      <c r="AU232" s="334"/>
      <c r="AV232" s="334"/>
      <c r="AW232" s="321"/>
    </row>
    <row r="233" spans="19:49">
      <c r="S233" s="321"/>
      <c r="T233" s="334"/>
      <c r="U233" s="365"/>
      <c r="V233" s="366">
        <f t="shared" si="17"/>
        <v>126.5</v>
      </c>
      <c r="W233" s="367">
        <f t="shared" si="25"/>
        <v>306.64934612439873</v>
      </c>
      <c r="X233" s="378"/>
      <c r="Y233" s="369"/>
      <c r="Z233" s="371">
        <f t="shared" si="18"/>
        <v>8.7416100000000004E-3</v>
      </c>
      <c r="AA233" s="371">
        <f t="shared" si="19"/>
        <v>0</v>
      </c>
      <c r="AB233" s="372" t="str">
        <f t="shared" si="20"/>
        <v>N</v>
      </c>
      <c r="AC233" s="337">
        <v>127</v>
      </c>
      <c r="AD233" s="334"/>
      <c r="AE233" s="334"/>
      <c r="AF233" s="334"/>
      <c r="AG233" s="334"/>
      <c r="AH233" s="333"/>
      <c r="AI233" s="334"/>
      <c r="AJ233" s="365"/>
      <c r="AK233" s="366">
        <f t="shared" si="21"/>
        <v>126.5</v>
      </c>
      <c r="AL233" s="367">
        <f t="shared" si="26"/>
        <v>1203.4078480628293</v>
      </c>
      <c r="AM233" s="378"/>
      <c r="AN233" s="369"/>
      <c r="AO233" s="371">
        <f t="shared" si="22"/>
        <v>1.3451940000000001E-2</v>
      </c>
      <c r="AP233" s="371">
        <f t="shared" si="23"/>
        <v>0</v>
      </c>
      <c r="AQ233" s="372" t="str">
        <f t="shared" si="24"/>
        <v>N</v>
      </c>
      <c r="AR233" s="337">
        <v>127</v>
      </c>
      <c r="AS233" s="334"/>
      <c r="AT233" s="334"/>
      <c r="AU233" s="334"/>
      <c r="AV233" s="334"/>
      <c r="AW233" s="321"/>
    </row>
    <row r="234" spans="19:49">
      <c r="S234" s="321"/>
      <c r="T234" s="334"/>
      <c r="U234" s="365"/>
      <c r="V234" s="366">
        <f t="shared" si="17"/>
        <v>127.5</v>
      </c>
      <c r="W234" s="367">
        <f t="shared" si="25"/>
        <v>303.96873684106708</v>
      </c>
      <c r="X234" s="378"/>
      <c r="Y234" s="369"/>
      <c r="Z234" s="371">
        <f t="shared" si="18"/>
        <v>8.7416100000000004E-3</v>
      </c>
      <c r="AA234" s="371">
        <f t="shared" si="19"/>
        <v>0</v>
      </c>
      <c r="AB234" s="372" t="str">
        <f t="shared" si="20"/>
        <v>N</v>
      </c>
      <c r="AC234" s="337">
        <v>128</v>
      </c>
      <c r="AD234" s="334"/>
      <c r="AE234" s="334"/>
      <c r="AF234" s="334"/>
      <c r="AG234" s="334"/>
      <c r="AH234" s="333"/>
      <c r="AI234" s="334"/>
      <c r="AJ234" s="365"/>
      <c r="AK234" s="366">
        <f t="shared" si="21"/>
        <v>127.5</v>
      </c>
      <c r="AL234" s="367">
        <f t="shared" si="26"/>
        <v>1187.2196694570212</v>
      </c>
      <c r="AM234" s="378"/>
      <c r="AN234" s="369"/>
      <c r="AO234" s="371">
        <f t="shared" si="22"/>
        <v>1.3451940000000001E-2</v>
      </c>
      <c r="AP234" s="371">
        <f t="shared" si="23"/>
        <v>0</v>
      </c>
      <c r="AQ234" s="372" t="str">
        <f t="shared" si="24"/>
        <v>N</v>
      </c>
      <c r="AR234" s="337">
        <v>128</v>
      </c>
      <c r="AS234" s="334"/>
      <c r="AT234" s="334"/>
      <c r="AU234" s="334"/>
      <c r="AV234" s="334"/>
      <c r="AW234" s="321"/>
    </row>
    <row r="235" spans="19:49">
      <c r="S235" s="321"/>
      <c r="T235" s="334"/>
      <c r="U235" s="365"/>
      <c r="V235" s="366">
        <f t="shared" si="17"/>
        <v>128.5</v>
      </c>
      <c r="W235" s="367">
        <f t="shared" si="25"/>
        <v>301.31156040121186</v>
      </c>
      <c r="X235" s="378"/>
      <c r="Y235" s="369"/>
      <c r="Z235" s="371">
        <f t="shared" si="18"/>
        <v>8.7416100000000004E-3</v>
      </c>
      <c r="AA235" s="371">
        <f t="shared" si="19"/>
        <v>0</v>
      </c>
      <c r="AB235" s="372" t="str">
        <f t="shared" si="20"/>
        <v>N</v>
      </c>
      <c r="AC235" s="337">
        <v>129</v>
      </c>
      <c r="AD235" s="334"/>
      <c r="AE235" s="334"/>
      <c r="AF235" s="334"/>
      <c r="AG235" s="334"/>
      <c r="AH235" s="333"/>
      <c r="AI235" s="334"/>
      <c r="AJ235" s="365"/>
      <c r="AK235" s="366">
        <f t="shared" si="21"/>
        <v>128.5</v>
      </c>
      <c r="AL235" s="367">
        <f t="shared" si="26"/>
        <v>1171.2492533720367</v>
      </c>
      <c r="AM235" s="378"/>
      <c r="AN235" s="369"/>
      <c r="AO235" s="371">
        <f t="shared" si="22"/>
        <v>1.3451940000000001E-2</v>
      </c>
      <c r="AP235" s="371">
        <f t="shared" si="23"/>
        <v>0</v>
      </c>
      <c r="AQ235" s="372" t="str">
        <f t="shared" si="24"/>
        <v>N</v>
      </c>
      <c r="AR235" s="337">
        <v>129</v>
      </c>
      <c r="AS235" s="334"/>
      <c r="AT235" s="334"/>
      <c r="AU235" s="334"/>
      <c r="AV235" s="334"/>
      <c r="AW235" s="321"/>
    </row>
    <row r="236" spans="19:49">
      <c r="S236" s="321"/>
      <c r="T236" s="334"/>
      <c r="U236" s="365"/>
      <c r="V236" s="366">
        <f t="shared" ref="V236:V299" si="27">1+V235</f>
        <v>129.5</v>
      </c>
      <c r="W236" s="367">
        <f t="shared" si="25"/>
        <v>298.67761196403188</v>
      </c>
      <c r="X236" s="378"/>
      <c r="Y236" s="369"/>
      <c r="Z236" s="371">
        <f t="shared" ref="Z236:Z299" si="28">TRUNC(1-(W236/W235),8)</f>
        <v>8.7416100000000004E-3</v>
      </c>
      <c r="AA236" s="371">
        <f t="shared" ref="AA236:AA299" si="29">TRUNC(Z236-(1-(1-(W$69/100))^(1/12)),8)</f>
        <v>0</v>
      </c>
      <c r="AB236" s="372" t="str">
        <f t="shared" ref="AB236:AB299" si="30">IF(AA236&lt;0,"Y","N")</f>
        <v>N</v>
      </c>
      <c r="AC236" s="337">
        <v>130</v>
      </c>
      <c r="AD236" s="334"/>
      <c r="AE236" s="334"/>
      <c r="AF236" s="334"/>
      <c r="AG236" s="334"/>
      <c r="AH236" s="333"/>
      <c r="AI236" s="334"/>
      <c r="AJ236" s="365"/>
      <c r="AK236" s="366">
        <f t="shared" ref="AK236:AK299" si="31">1+AK235</f>
        <v>129.5</v>
      </c>
      <c r="AL236" s="367">
        <f t="shared" si="26"/>
        <v>1155.4936704779852</v>
      </c>
      <c r="AM236" s="378"/>
      <c r="AN236" s="369"/>
      <c r="AO236" s="371">
        <f t="shared" ref="AO236:AO299" si="32">TRUNC(1-(AL236/AL235),8)</f>
        <v>1.3451940000000001E-2</v>
      </c>
      <c r="AP236" s="371">
        <f t="shared" ref="AP236:AP299" si="33">TRUNC(AO236-(1-(1-(AL$69/100))^(1/12)),8)</f>
        <v>0</v>
      </c>
      <c r="AQ236" s="372" t="str">
        <f t="shared" ref="AQ236:AQ299" si="34">IF(AP236&lt;0,"Y","N")</f>
        <v>N</v>
      </c>
      <c r="AR236" s="337">
        <v>130</v>
      </c>
      <c r="AS236" s="334"/>
      <c r="AT236" s="334"/>
      <c r="AU236" s="334"/>
      <c r="AV236" s="334"/>
      <c r="AW236" s="321"/>
    </row>
    <row r="237" spans="19:49">
      <c r="S237" s="321"/>
      <c r="T237" s="334"/>
      <c r="U237" s="365"/>
      <c r="V237" s="366">
        <f t="shared" si="27"/>
        <v>130.5</v>
      </c>
      <c r="W237" s="367">
        <f t="shared" ref="W237:W300" si="35">IF(AA236&lt;=0,AF$66*(1-(dt/100))^((V237-AF$67)/12),AE$65/((1+(V237/12)*((1-W$67/100)^(-W$68)-1)))^(1/W$68))</f>
        <v>296.06668847936447</v>
      </c>
      <c r="X237" s="378"/>
      <c r="Y237" s="369"/>
      <c r="Z237" s="371">
        <f t="shared" si="28"/>
        <v>8.7416100000000004E-3</v>
      </c>
      <c r="AA237" s="371">
        <f t="shared" si="29"/>
        <v>0</v>
      </c>
      <c r="AB237" s="372" t="str">
        <f t="shared" si="30"/>
        <v>N</v>
      </c>
      <c r="AC237" s="337">
        <v>131</v>
      </c>
      <c r="AD237" s="334"/>
      <c r="AE237" s="334"/>
      <c r="AF237" s="334"/>
      <c r="AG237" s="334"/>
      <c r="AH237" s="333"/>
      <c r="AI237" s="334"/>
      <c r="AJ237" s="365"/>
      <c r="AK237" s="366">
        <f t="shared" si="31"/>
        <v>130.5</v>
      </c>
      <c r="AL237" s="367">
        <f t="shared" ref="AL237:AL300" si="36">IF(AP236&lt;=0,AU$66*(1-(AL$69/100))^((AK237-AU$67)/12),AT$65/((1+(AK237/12)*((1-AL$67/100)^(-AL$68)-1)))^(1/AL$68))</f>
        <v>1139.9500308501654</v>
      </c>
      <c r="AM237" s="378"/>
      <c r="AN237" s="369"/>
      <c r="AO237" s="371">
        <f t="shared" si="32"/>
        <v>1.3451940000000001E-2</v>
      </c>
      <c r="AP237" s="371">
        <f t="shared" si="33"/>
        <v>0</v>
      </c>
      <c r="AQ237" s="372" t="str">
        <f t="shared" si="34"/>
        <v>N</v>
      </c>
      <c r="AR237" s="337">
        <v>131</v>
      </c>
      <c r="AS237" s="334"/>
      <c r="AT237" s="334"/>
      <c r="AU237" s="334"/>
      <c r="AV237" s="334"/>
      <c r="AW237" s="321"/>
    </row>
    <row r="238" spans="19:49" ht="15.05" thickBot="1">
      <c r="S238" s="321"/>
      <c r="T238" s="334"/>
      <c r="U238" s="373">
        <f>1+U226</f>
        <v>11</v>
      </c>
      <c r="V238" s="374">
        <f t="shared" si="27"/>
        <v>131.5</v>
      </c>
      <c r="W238" s="367">
        <f t="shared" si="35"/>
        <v>293.47858867203246</v>
      </c>
      <c r="X238" s="375">
        <f>SUM(W227:W238)</f>
        <v>3697.6799119366719</v>
      </c>
      <c r="Y238" s="376">
        <f>-(X238/X226-1)</f>
        <v>0.10000000000000009</v>
      </c>
      <c r="Z238" s="371">
        <f t="shared" si="28"/>
        <v>8.7416100000000004E-3</v>
      </c>
      <c r="AA238" s="371">
        <f t="shared" si="29"/>
        <v>0</v>
      </c>
      <c r="AB238" s="372" t="str">
        <f t="shared" si="30"/>
        <v>N</v>
      </c>
      <c r="AC238" s="337">
        <v>132</v>
      </c>
      <c r="AD238" s="334"/>
      <c r="AE238" s="334"/>
      <c r="AF238" s="334"/>
      <c r="AG238" s="334"/>
      <c r="AH238" s="333"/>
      <c r="AI238" s="334"/>
      <c r="AJ238" s="373">
        <f>1+AJ226</f>
        <v>11</v>
      </c>
      <c r="AK238" s="374">
        <f t="shared" si="31"/>
        <v>131.5</v>
      </c>
      <c r="AL238" s="367">
        <f t="shared" si="36"/>
        <v>1124.6154834389906</v>
      </c>
      <c r="AM238" s="375">
        <f>SUM(AL227:AL238)</f>
        <v>14554.908772267276</v>
      </c>
      <c r="AN238" s="376">
        <f>-(AM238/AM226-1)</f>
        <v>0.15000000000000013</v>
      </c>
      <c r="AO238" s="371">
        <f t="shared" si="32"/>
        <v>1.3451940000000001E-2</v>
      </c>
      <c r="AP238" s="371">
        <f t="shared" si="33"/>
        <v>0</v>
      </c>
      <c r="AQ238" s="372" t="str">
        <f t="shared" si="34"/>
        <v>N</v>
      </c>
      <c r="AR238" s="337">
        <v>132</v>
      </c>
      <c r="AS238" s="334"/>
      <c r="AT238" s="334"/>
      <c r="AU238" s="334"/>
      <c r="AV238" s="334"/>
      <c r="AW238" s="321"/>
    </row>
    <row r="239" spans="19:49">
      <c r="S239" s="321"/>
      <c r="T239" s="334"/>
      <c r="U239" s="365"/>
      <c r="V239" s="366">
        <f t="shared" si="27"/>
        <v>132.5</v>
      </c>
      <c r="W239" s="377">
        <f t="shared" si="35"/>
        <v>290.91311302632806</v>
      </c>
      <c r="X239" s="378"/>
      <c r="Y239" s="369"/>
      <c r="Z239" s="371">
        <f t="shared" si="28"/>
        <v>8.7416100000000004E-3</v>
      </c>
      <c r="AA239" s="371">
        <f t="shared" si="29"/>
        <v>0</v>
      </c>
      <c r="AB239" s="372" t="str">
        <f t="shared" si="30"/>
        <v>N</v>
      </c>
      <c r="AC239" s="337">
        <v>133</v>
      </c>
      <c r="AD239" s="334"/>
      <c r="AE239" s="334"/>
      <c r="AF239" s="334"/>
      <c r="AG239" s="334"/>
      <c r="AH239" s="333"/>
      <c r="AI239" s="334"/>
      <c r="AJ239" s="365"/>
      <c r="AK239" s="366">
        <f t="shared" si="31"/>
        <v>132.5</v>
      </c>
      <c r="AL239" s="377">
        <f t="shared" si="36"/>
        <v>1109.4872155470421</v>
      </c>
      <c r="AM239" s="378"/>
      <c r="AN239" s="369"/>
      <c r="AO239" s="371">
        <f t="shared" si="32"/>
        <v>1.3451940000000001E-2</v>
      </c>
      <c r="AP239" s="371">
        <f t="shared" si="33"/>
        <v>0</v>
      </c>
      <c r="AQ239" s="372" t="str">
        <f t="shared" si="34"/>
        <v>N</v>
      </c>
      <c r="AR239" s="337">
        <v>133</v>
      </c>
      <c r="AS239" s="334"/>
      <c r="AT239" s="334"/>
      <c r="AU239" s="334"/>
      <c r="AV239" s="334"/>
      <c r="AW239" s="321"/>
    </row>
    <row r="240" spans="19:49">
      <c r="S240" s="321"/>
      <c r="T240" s="334"/>
      <c r="U240" s="365"/>
      <c r="V240" s="366">
        <f t="shared" si="27"/>
        <v>133.5</v>
      </c>
      <c r="W240" s="367">
        <f t="shared" si="35"/>
        <v>288.37006377063221</v>
      </c>
      <c r="X240" s="378"/>
      <c r="Y240" s="369"/>
      <c r="Z240" s="371">
        <f t="shared" si="28"/>
        <v>8.7416100000000004E-3</v>
      </c>
      <c r="AA240" s="371">
        <f t="shared" si="29"/>
        <v>0</v>
      </c>
      <c r="AB240" s="372" t="str">
        <f t="shared" si="30"/>
        <v>N</v>
      </c>
      <c r="AC240" s="337">
        <v>134</v>
      </c>
      <c r="AD240" s="334"/>
      <c r="AE240" s="334"/>
      <c r="AF240" s="334"/>
      <c r="AG240" s="334"/>
      <c r="AH240" s="333"/>
      <c r="AI240" s="334"/>
      <c r="AJ240" s="365"/>
      <c r="AK240" s="366">
        <f t="shared" si="31"/>
        <v>133.5</v>
      </c>
      <c r="AL240" s="367">
        <f t="shared" si="36"/>
        <v>1094.5624523131573</v>
      </c>
      <c r="AM240" s="378"/>
      <c r="AN240" s="369"/>
      <c r="AO240" s="371">
        <f t="shared" si="32"/>
        <v>1.3451940000000001E-2</v>
      </c>
      <c r="AP240" s="371">
        <f t="shared" si="33"/>
        <v>0</v>
      </c>
      <c r="AQ240" s="372" t="str">
        <f t="shared" si="34"/>
        <v>N</v>
      </c>
      <c r="AR240" s="337">
        <v>134</v>
      </c>
      <c r="AS240" s="334"/>
      <c r="AT240" s="334"/>
      <c r="AU240" s="334"/>
      <c r="AV240" s="334"/>
      <c r="AW240" s="321"/>
    </row>
    <row r="241" spans="19:49">
      <c r="S241" s="321"/>
      <c r="T241" s="334"/>
      <c r="U241" s="365"/>
      <c r="V241" s="366">
        <f t="shared" si="27"/>
        <v>134.5</v>
      </c>
      <c r="W241" s="367">
        <f t="shared" si="35"/>
        <v>285.84924486216829</v>
      </c>
      <c r="X241" s="378"/>
      <c r="Y241" s="369"/>
      <c r="Z241" s="371">
        <f t="shared" si="28"/>
        <v>8.7416100000000004E-3</v>
      </c>
      <c r="AA241" s="371">
        <f t="shared" si="29"/>
        <v>0</v>
      </c>
      <c r="AB241" s="372" t="str">
        <f t="shared" si="30"/>
        <v>N</v>
      </c>
      <c r="AC241" s="337">
        <v>135</v>
      </c>
      <c r="AD241" s="334"/>
      <c r="AE241" s="334"/>
      <c r="AF241" s="334"/>
      <c r="AG241" s="334"/>
      <c r="AH241" s="333"/>
      <c r="AI241" s="334"/>
      <c r="AJ241" s="365"/>
      <c r="AK241" s="366">
        <f t="shared" si="31"/>
        <v>134.5</v>
      </c>
      <c r="AL241" s="367">
        <f t="shared" si="36"/>
        <v>1079.8384562034594</v>
      </c>
      <c r="AM241" s="378"/>
      <c r="AN241" s="369"/>
      <c r="AO241" s="371">
        <f t="shared" si="32"/>
        <v>1.3451940000000001E-2</v>
      </c>
      <c r="AP241" s="371">
        <f t="shared" si="33"/>
        <v>0</v>
      </c>
      <c r="AQ241" s="372" t="str">
        <f t="shared" si="34"/>
        <v>N</v>
      </c>
      <c r="AR241" s="337">
        <v>135</v>
      </c>
      <c r="AS241" s="334"/>
      <c r="AT241" s="334"/>
      <c r="AU241" s="334"/>
      <c r="AV241" s="334"/>
      <c r="AW241" s="321"/>
    </row>
    <row r="242" spans="19:49">
      <c r="S242" s="321"/>
      <c r="T242" s="334"/>
      <c r="U242" s="365"/>
      <c r="V242" s="366">
        <f t="shared" si="27"/>
        <v>135.5</v>
      </c>
      <c r="W242" s="367">
        <f t="shared" si="35"/>
        <v>283.35046197188939</v>
      </c>
      <c r="X242" s="378"/>
      <c r="Y242" s="369"/>
      <c r="Z242" s="371">
        <f t="shared" si="28"/>
        <v>8.7416100000000004E-3</v>
      </c>
      <c r="AA242" s="371">
        <f t="shared" si="29"/>
        <v>0</v>
      </c>
      <c r="AB242" s="372" t="str">
        <f t="shared" si="30"/>
        <v>N</v>
      </c>
      <c r="AC242" s="337">
        <v>136</v>
      </c>
      <c r="AD242" s="334"/>
      <c r="AE242" s="334"/>
      <c r="AF242" s="334"/>
      <c r="AG242" s="334"/>
      <c r="AH242" s="333"/>
      <c r="AI242" s="334"/>
      <c r="AJ242" s="365"/>
      <c r="AK242" s="366">
        <f t="shared" si="31"/>
        <v>135.5</v>
      </c>
      <c r="AL242" s="367">
        <f t="shared" si="36"/>
        <v>1065.3125265092322</v>
      </c>
      <c r="AM242" s="378"/>
      <c r="AN242" s="369"/>
      <c r="AO242" s="371">
        <f t="shared" si="32"/>
        <v>1.3451940000000001E-2</v>
      </c>
      <c r="AP242" s="371">
        <f t="shared" si="33"/>
        <v>0</v>
      </c>
      <c r="AQ242" s="372" t="str">
        <f t="shared" si="34"/>
        <v>N</v>
      </c>
      <c r="AR242" s="337">
        <v>136</v>
      </c>
      <c r="AS242" s="334"/>
      <c r="AT242" s="334"/>
      <c r="AU242" s="334"/>
      <c r="AV242" s="334"/>
      <c r="AW242" s="321"/>
    </row>
    <row r="243" spans="19:49">
      <c r="S243" s="321"/>
      <c r="T243" s="334"/>
      <c r="U243" s="365"/>
      <c r="V243" s="366">
        <f t="shared" si="27"/>
        <v>136.5</v>
      </c>
      <c r="W243" s="367">
        <f t="shared" si="35"/>
        <v>280.87352246949752</v>
      </c>
      <c r="X243" s="378"/>
      <c r="Y243" s="369"/>
      <c r="Z243" s="371">
        <f t="shared" si="28"/>
        <v>8.7416100000000004E-3</v>
      </c>
      <c r="AA243" s="371">
        <f t="shared" si="29"/>
        <v>0</v>
      </c>
      <c r="AB243" s="372" t="str">
        <f t="shared" si="30"/>
        <v>N</v>
      </c>
      <c r="AC243" s="337">
        <v>137</v>
      </c>
      <c r="AD243" s="334"/>
      <c r="AE243" s="334"/>
      <c r="AF243" s="334"/>
      <c r="AG243" s="334"/>
      <c r="AH243" s="333"/>
      <c r="AI243" s="334"/>
      <c r="AJ243" s="365"/>
      <c r="AK243" s="366">
        <f t="shared" si="31"/>
        <v>136.5</v>
      </c>
      <c r="AL243" s="367">
        <f t="shared" si="36"/>
        <v>1050.9819988515499</v>
      </c>
      <c r="AM243" s="378"/>
      <c r="AN243" s="369"/>
      <c r="AO243" s="371">
        <f t="shared" si="32"/>
        <v>1.3451940000000001E-2</v>
      </c>
      <c r="AP243" s="371">
        <f t="shared" si="33"/>
        <v>0</v>
      </c>
      <c r="AQ243" s="372" t="str">
        <f t="shared" si="34"/>
        <v>N</v>
      </c>
      <c r="AR243" s="337">
        <v>137</v>
      </c>
      <c r="AS243" s="334"/>
      <c r="AT243" s="334"/>
      <c r="AU243" s="334"/>
      <c r="AV243" s="334"/>
      <c r="AW243" s="321"/>
    </row>
    <row r="244" spans="19:49">
      <c r="S244" s="321"/>
      <c r="T244" s="334"/>
      <c r="U244" s="365"/>
      <c r="V244" s="366">
        <f t="shared" si="27"/>
        <v>137.5</v>
      </c>
      <c r="W244" s="367">
        <f t="shared" si="35"/>
        <v>278.41823540859389</v>
      </c>
      <c r="X244" s="378"/>
      <c r="Y244" s="369"/>
      <c r="Z244" s="371">
        <f t="shared" si="28"/>
        <v>8.7416100000000004E-3</v>
      </c>
      <c r="AA244" s="371">
        <f t="shared" si="29"/>
        <v>0</v>
      </c>
      <c r="AB244" s="372" t="str">
        <f t="shared" si="30"/>
        <v>N</v>
      </c>
      <c r="AC244" s="337">
        <v>138</v>
      </c>
      <c r="AD244" s="334"/>
      <c r="AE244" s="334"/>
      <c r="AF244" s="334"/>
      <c r="AG244" s="334"/>
      <c r="AH244" s="333"/>
      <c r="AI244" s="334"/>
      <c r="AJ244" s="365"/>
      <c r="AK244" s="366">
        <f t="shared" si="31"/>
        <v>137.5</v>
      </c>
      <c r="AL244" s="367">
        <f t="shared" si="36"/>
        <v>1036.8442446925706</v>
      </c>
      <c r="AM244" s="378"/>
      <c r="AN244" s="369"/>
      <c r="AO244" s="371">
        <f t="shared" si="32"/>
        <v>1.3451940000000001E-2</v>
      </c>
      <c r="AP244" s="371">
        <f t="shared" si="33"/>
        <v>0</v>
      </c>
      <c r="AQ244" s="372" t="str">
        <f t="shared" si="34"/>
        <v>N</v>
      </c>
      <c r="AR244" s="337">
        <v>138</v>
      </c>
      <c r="AS244" s="334"/>
      <c r="AT244" s="334"/>
      <c r="AU244" s="334"/>
      <c r="AV244" s="334"/>
      <c r="AW244" s="321"/>
    </row>
    <row r="245" spans="19:49">
      <c r="S245" s="321"/>
      <c r="T245" s="334"/>
      <c r="U245" s="365"/>
      <c r="V245" s="366">
        <f t="shared" si="27"/>
        <v>138.5</v>
      </c>
      <c r="W245" s="367">
        <f t="shared" si="35"/>
        <v>275.9844115119588</v>
      </c>
      <c r="X245" s="378"/>
      <c r="Y245" s="369"/>
      <c r="Z245" s="371">
        <f t="shared" si="28"/>
        <v>8.7416100000000004E-3</v>
      </c>
      <c r="AA245" s="371">
        <f t="shared" si="29"/>
        <v>0</v>
      </c>
      <c r="AB245" s="372" t="str">
        <f t="shared" si="30"/>
        <v>N</v>
      </c>
      <c r="AC245" s="337">
        <v>139</v>
      </c>
      <c r="AD245" s="334"/>
      <c r="AE245" s="334"/>
      <c r="AF245" s="334"/>
      <c r="AG245" s="334"/>
      <c r="AH245" s="333"/>
      <c r="AI245" s="334"/>
      <c r="AJ245" s="365"/>
      <c r="AK245" s="366">
        <f t="shared" si="31"/>
        <v>138.5</v>
      </c>
      <c r="AL245" s="367">
        <f t="shared" si="36"/>
        <v>1022.896670853405</v>
      </c>
      <c r="AM245" s="378"/>
      <c r="AN245" s="369"/>
      <c r="AO245" s="371">
        <f t="shared" si="32"/>
        <v>1.3451940000000001E-2</v>
      </c>
      <c r="AP245" s="371">
        <f t="shared" si="33"/>
        <v>0</v>
      </c>
      <c r="AQ245" s="372" t="str">
        <f t="shared" si="34"/>
        <v>N</v>
      </c>
      <c r="AR245" s="337">
        <v>139</v>
      </c>
      <c r="AS245" s="334"/>
      <c r="AT245" s="334"/>
      <c r="AU245" s="334"/>
      <c r="AV245" s="334"/>
      <c r="AW245" s="321"/>
    </row>
    <row r="246" spans="19:49">
      <c r="S246" s="321"/>
      <c r="T246" s="334"/>
      <c r="U246" s="365"/>
      <c r="V246" s="366">
        <f t="shared" si="27"/>
        <v>139.5</v>
      </c>
      <c r="W246" s="367">
        <f t="shared" si="35"/>
        <v>273.57186315696038</v>
      </c>
      <c r="X246" s="378"/>
      <c r="Y246" s="369"/>
      <c r="Z246" s="371">
        <f t="shared" si="28"/>
        <v>8.7416100000000004E-3</v>
      </c>
      <c r="AA246" s="371">
        <f t="shared" si="29"/>
        <v>0</v>
      </c>
      <c r="AB246" s="372" t="str">
        <f t="shared" si="30"/>
        <v>N</v>
      </c>
      <c r="AC246" s="337">
        <v>140</v>
      </c>
      <c r="AD246" s="334"/>
      <c r="AE246" s="334"/>
      <c r="AF246" s="334"/>
      <c r="AG246" s="334"/>
      <c r="AH246" s="333"/>
      <c r="AI246" s="334"/>
      <c r="AJ246" s="365"/>
      <c r="AK246" s="366">
        <f t="shared" si="31"/>
        <v>139.5</v>
      </c>
      <c r="AL246" s="367">
        <f t="shared" si="36"/>
        <v>1009.1367190384678</v>
      </c>
      <c r="AM246" s="378"/>
      <c r="AN246" s="369"/>
      <c r="AO246" s="371">
        <f t="shared" si="32"/>
        <v>1.3451940000000001E-2</v>
      </c>
      <c r="AP246" s="371">
        <f t="shared" si="33"/>
        <v>0</v>
      </c>
      <c r="AQ246" s="372" t="str">
        <f t="shared" si="34"/>
        <v>N</v>
      </c>
      <c r="AR246" s="337">
        <v>140</v>
      </c>
      <c r="AS246" s="334"/>
      <c r="AT246" s="334"/>
      <c r="AU246" s="334"/>
      <c r="AV246" s="334"/>
      <c r="AW246" s="321"/>
    </row>
    <row r="247" spans="19:49">
      <c r="S247" s="321"/>
      <c r="T247" s="334"/>
      <c r="U247" s="365"/>
      <c r="V247" s="366">
        <f t="shared" si="27"/>
        <v>140.5</v>
      </c>
      <c r="W247" s="367">
        <f t="shared" si="35"/>
        <v>271.18040436109067</v>
      </c>
      <c r="X247" s="378"/>
      <c r="Y247" s="369"/>
      <c r="Z247" s="371">
        <f t="shared" si="28"/>
        <v>8.7416100000000004E-3</v>
      </c>
      <c r="AA247" s="371">
        <f t="shared" si="29"/>
        <v>0</v>
      </c>
      <c r="AB247" s="372" t="str">
        <f t="shared" si="30"/>
        <v>N</v>
      </c>
      <c r="AC247" s="337">
        <v>141</v>
      </c>
      <c r="AD247" s="334"/>
      <c r="AE247" s="334"/>
      <c r="AF247" s="334"/>
      <c r="AG247" s="334"/>
      <c r="AH247" s="333"/>
      <c r="AI247" s="334"/>
      <c r="AJ247" s="365"/>
      <c r="AK247" s="366">
        <f t="shared" si="31"/>
        <v>140.5</v>
      </c>
      <c r="AL247" s="367">
        <f t="shared" si="36"/>
        <v>995.56186536623125</v>
      </c>
      <c r="AM247" s="378"/>
      <c r="AN247" s="369"/>
      <c r="AO247" s="371">
        <f t="shared" si="32"/>
        <v>1.3451940000000001E-2</v>
      </c>
      <c r="AP247" s="371">
        <f t="shared" si="33"/>
        <v>0</v>
      </c>
      <c r="AQ247" s="372" t="str">
        <f t="shared" si="34"/>
        <v>N</v>
      </c>
      <c r="AR247" s="337">
        <v>141</v>
      </c>
      <c r="AS247" s="334"/>
      <c r="AT247" s="334"/>
      <c r="AU247" s="334"/>
      <c r="AV247" s="334"/>
      <c r="AW247" s="321"/>
    </row>
    <row r="248" spans="19:49">
      <c r="S248" s="321"/>
      <c r="T248" s="334"/>
      <c r="U248" s="365"/>
      <c r="V248" s="366">
        <f t="shared" si="27"/>
        <v>141.5</v>
      </c>
      <c r="W248" s="367">
        <f t="shared" si="35"/>
        <v>268.80985076762869</v>
      </c>
      <c r="X248" s="378"/>
      <c r="Y248" s="369"/>
      <c r="Z248" s="371">
        <f t="shared" si="28"/>
        <v>8.7416100000000004E-3</v>
      </c>
      <c r="AA248" s="371">
        <f t="shared" si="29"/>
        <v>0</v>
      </c>
      <c r="AB248" s="372" t="str">
        <f t="shared" si="30"/>
        <v>N</v>
      </c>
      <c r="AC248" s="337">
        <v>142</v>
      </c>
      <c r="AD248" s="334"/>
      <c r="AE248" s="334"/>
      <c r="AF248" s="334"/>
      <c r="AG248" s="334"/>
      <c r="AH248" s="333"/>
      <c r="AI248" s="334"/>
      <c r="AJ248" s="365"/>
      <c r="AK248" s="366">
        <f t="shared" si="31"/>
        <v>141.5</v>
      </c>
      <c r="AL248" s="367">
        <f t="shared" si="36"/>
        <v>982.16961990628715</v>
      </c>
      <c r="AM248" s="378"/>
      <c r="AN248" s="369"/>
      <c r="AO248" s="371">
        <f t="shared" si="32"/>
        <v>1.3451940000000001E-2</v>
      </c>
      <c r="AP248" s="371">
        <f t="shared" si="33"/>
        <v>0</v>
      </c>
      <c r="AQ248" s="372" t="str">
        <f t="shared" si="34"/>
        <v>N</v>
      </c>
      <c r="AR248" s="337">
        <v>142</v>
      </c>
      <c r="AS248" s="334"/>
      <c r="AT248" s="334"/>
      <c r="AU248" s="334"/>
      <c r="AV248" s="334"/>
      <c r="AW248" s="321"/>
    </row>
    <row r="249" spans="19:49">
      <c r="S249" s="321"/>
      <c r="T249" s="334"/>
      <c r="U249" s="365"/>
      <c r="V249" s="366">
        <f t="shared" si="27"/>
        <v>142.5</v>
      </c>
      <c r="W249" s="367">
        <f t="shared" si="35"/>
        <v>266.46001963142805</v>
      </c>
      <c r="X249" s="378"/>
      <c r="Y249" s="369"/>
      <c r="Z249" s="371">
        <f t="shared" si="28"/>
        <v>8.7416100000000004E-3</v>
      </c>
      <c r="AA249" s="371">
        <f t="shared" si="29"/>
        <v>0</v>
      </c>
      <c r="AB249" s="372" t="str">
        <f t="shared" si="30"/>
        <v>N</v>
      </c>
      <c r="AC249" s="337">
        <v>143</v>
      </c>
      <c r="AD249" s="334"/>
      <c r="AE249" s="334"/>
      <c r="AF249" s="334"/>
      <c r="AG249" s="334"/>
      <c r="AH249" s="333"/>
      <c r="AI249" s="334"/>
      <c r="AJ249" s="365"/>
      <c r="AK249" s="366">
        <f t="shared" si="31"/>
        <v>142.5</v>
      </c>
      <c r="AL249" s="367">
        <f t="shared" si="36"/>
        <v>968.95752622264058</v>
      </c>
      <c r="AM249" s="378"/>
      <c r="AN249" s="369"/>
      <c r="AO249" s="371">
        <f t="shared" si="32"/>
        <v>1.3451940000000001E-2</v>
      </c>
      <c r="AP249" s="371">
        <f t="shared" si="33"/>
        <v>0</v>
      </c>
      <c r="AQ249" s="372" t="str">
        <f t="shared" si="34"/>
        <v>N</v>
      </c>
      <c r="AR249" s="337">
        <v>143</v>
      </c>
      <c r="AS249" s="334"/>
      <c r="AT249" s="334"/>
      <c r="AU249" s="334"/>
      <c r="AV249" s="334"/>
      <c r="AW249" s="321"/>
    </row>
    <row r="250" spans="19:49" ht="15.05" thickBot="1">
      <c r="S250" s="321"/>
      <c r="T250" s="334"/>
      <c r="U250" s="373">
        <f>1+U238</f>
        <v>12</v>
      </c>
      <c r="V250" s="374">
        <f t="shared" si="27"/>
        <v>143.5</v>
      </c>
      <c r="W250" s="367">
        <f t="shared" si="35"/>
        <v>264.13072980482923</v>
      </c>
      <c r="X250" s="375">
        <f>SUM(W239:W250)</f>
        <v>3327.9119207430049</v>
      </c>
      <c r="Y250" s="376">
        <f>-(X250/X238-1)</f>
        <v>9.9999999999999978E-2</v>
      </c>
      <c r="Z250" s="371">
        <f t="shared" si="28"/>
        <v>8.7416100000000004E-3</v>
      </c>
      <c r="AA250" s="371">
        <f t="shared" si="29"/>
        <v>0</v>
      </c>
      <c r="AB250" s="372" t="str">
        <f t="shared" si="30"/>
        <v>N</v>
      </c>
      <c r="AC250" s="337">
        <v>144</v>
      </c>
      <c r="AD250" s="334"/>
      <c r="AE250" s="334"/>
      <c r="AF250" s="334"/>
      <c r="AG250" s="334"/>
      <c r="AH250" s="333"/>
      <c r="AI250" s="334"/>
      <c r="AJ250" s="373">
        <f>1+AJ238</f>
        <v>12</v>
      </c>
      <c r="AK250" s="374">
        <f t="shared" si="31"/>
        <v>143.5</v>
      </c>
      <c r="AL250" s="367">
        <f t="shared" si="36"/>
        <v>955.92316092314218</v>
      </c>
      <c r="AM250" s="375">
        <f>SUM(AL239:AL250)</f>
        <v>12371.672456427188</v>
      </c>
      <c r="AN250" s="376">
        <f>-(AM250/AM238-1)</f>
        <v>0.14999999999999969</v>
      </c>
      <c r="AO250" s="371">
        <f t="shared" si="32"/>
        <v>1.3451940000000001E-2</v>
      </c>
      <c r="AP250" s="371">
        <f t="shared" si="33"/>
        <v>0</v>
      </c>
      <c r="AQ250" s="372" t="str">
        <f t="shared" si="34"/>
        <v>N</v>
      </c>
      <c r="AR250" s="337">
        <v>144</v>
      </c>
      <c r="AS250" s="334"/>
      <c r="AT250" s="334"/>
      <c r="AU250" s="334"/>
      <c r="AV250" s="334"/>
      <c r="AW250" s="321"/>
    </row>
    <row r="251" spans="19:49">
      <c r="S251" s="321"/>
      <c r="T251" s="334"/>
      <c r="U251" s="365"/>
      <c r="V251" s="366">
        <f t="shared" si="27"/>
        <v>144.5</v>
      </c>
      <c r="W251" s="377">
        <f t="shared" si="35"/>
        <v>261.82180172369527</v>
      </c>
      <c r="X251" s="378"/>
      <c r="Y251" s="369"/>
      <c r="Z251" s="371">
        <f t="shared" si="28"/>
        <v>8.7416100000000004E-3</v>
      </c>
      <c r="AA251" s="371">
        <f t="shared" si="29"/>
        <v>0</v>
      </c>
      <c r="AB251" s="372" t="str">
        <f t="shared" si="30"/>
        <v>N</v>
      </c>
      <c r="AC251" s="337">
        <v>145</v>
      </c>
      <c r="AD251" s="334"/>
      <c r="AE251" s="334"/>
      <c r="AF251" s="334"/>
      <c r="AG251" s="334"/>
      <c r="AH251" s="333"/>
      <c r="AI251" s="334"/>
      <c r="AJ251" s="365"/>
      <c r="AK251" s="366">
        <f t="shared" si="31"/>
        <v>144.5</v>
      </c>
      <c r="AL251" s="377">
        <f t="shared" si="36"/>
        <v>943.06413321498565</v>
      </c>
      <c r="AM251" s="378"/>
      <c r="AN251" s="369"/>
      <c r="AO251" s="371">
        <f t="shared" si="32"/>
        <v>1.3451940000000001E-2</v>
      </c>
      <c r="AP251" s="371">
        <f t="shared" si="33"/>
        <v>0</v>
      </c>
      <c r="AQ251" s="372" t="str">
        <f t="shared" si="34"/>
        <v>N</v>
      </c>
      <c r="AR251" s="337">
        <v>145</v>
      </c>
      <c r="AS251" s="334"/>
      <c r="AT251" s="334"/>
      <c r="AU251" s="334"/>
      <c r="AV251" s="334"/>
      <c r="AW251" s="321"/>
    </row>
    <row r="252" spans="19:49">
      <c r="S252" s="321"/>
      <c r="T252" s="334"/>
      <c r="U252" s="365"/>
      <c r="V252" s="366">
        <f t="shared" si="27"/>
        <v>145.5</v>
      </c>
      <c r="W252" s="367">
        <f t="shared" si="35"/>
        <v>259.53305739356898</v>
      </c>
      <c r="X252" s="378"/>
      <c r="Y252" s="369"/>
      <c r="Z252" s="371">
        <f t="shared" si="28"/>
        <v>8.7416100000000004E-3</v>
      </c>
      <c r="AA252" s="371">
        <f t="shared" si="29"/>
        <v>0</v>
      </c>
      <c r="AB252" s="372" t="str">
        <f t="shared" si="30"/>
        <v>N</v>
      </c>
      <c r="AC252" s="337">
        <v>146</v>
      </c>
      <c r="AD252" s="334"/>
      <c r="AE252" s="334"/>
      <c r="AF252" s="334"/>
      <c r="AG252" s="334"/>
      <c r="AH252" s="333"/>
      <c r="AI252" s="334"/>
      <c r="AJ252" s="365"/>
      <c r="AK252" s="366">
        <f t="shared" si="31"/>
        <v>145.5</v>
      </c>
      <c r="AL252" s="367">
        <f t="shared" si="36"/>
        <v>930.37808446618374</v>
      </c>
      <c r="AM252" s="378"/>
      <c r="AN252" s="369"/>
      <c r="AO252" s="371">
        <f t="shared" si="32"/>
        <v>1.3451940000000001E-2</v>
      </c>
      <c r="AP252" s="371">
        <f t="shared" si="33"/>
        <v>0</v>
      </c>
      <c r="AQ252" s="372" t="str">
        <f t="shared" si="34"/>
        <v>N</v>
      </c>
      <c r="AR252" s="337">
        <v>146</v>
      </c>
      <c r="AS252" s="334"/>
      <c r="AT252" s="334"/>
      <c r="AU252" s="334"/>
      <c r="AV252" s="334"/>
      <c r="AW252" s="321"/>
    </row>
    <row r="253" spans="19:49">
      <c r="S253" s="321"/>
      <c r="T253" s="334"/>
      <c r="U253" s="365"/>
      <c r="V253" s="366">
        <f t="shared" si="27"/>
        <v>146.5</v>
      </c>
      <c r="W253" s="367">
        <f t="shared" si="35"/>
        <v>257.26432037595146</v>
      </c>
      <c r="X253" s="378"/>
      <c r="Y253" s="369"/>
      <c r="Z253" s="371">
        <f t="shared" si="28"/>
        <v>8.7416100000000004E-3</v>
      </c>
      <c r="AA253" s="371">
        <f t="shared" si="29"/>
        <v>0</v>
      </c>
      <c r="AB253" s="372" t="str">
        <f t="shared" si="30"/>
        <v>N</v>
      </c>
      <c r="AC253" s="337">
        <v>147</v>
      </c>
      <c r="AD253" s="334"/>
      <c r="AE253" s="334"/>
      <c r="AF253" s="334"/>
      <c r="AG253" s="334"/>
      <c r="AH253" s="333"/>
      <c r="AI253" s="334"/>
      <c r="AJ253" s="365"/>
      <c r="AK253" s="366">
        <f t="shared" si="31"/>
        <v>146.5</v>
      </c>
      <c r="AL253" s="367">
        <f t="shared" si="36"/>
        <v>917.86268777294049</v>
      </c>
      <c r="AM253" s="378"/>
      <c r="AN253" s="369"/>
      <c r="AO253" s="371">
        <f t="shared" si="32"/>
        <v>1.3451940000000001E-2</v>
      </c>
      <c r="AP253" s="371">
        <f t="shared" si="33"/>
        <v>0</v>
      </c>
      <c r="AQ253" s="372" t="str">
        <f t="shared" si="34"/>
        <v>N</v>
      </c>
      <c r="AR253" s="337">
        <v>147</v>
      </c>
      <c r="AS253" s="334"/>
      <c r="AT253" s="334"/>
      <c r="AU253" s="334"/>
      <c r="AV253" s="334"/>
      <c r="AW253" s="321"/>
    </row>
    <row r="254" spans="19:49">
      <c r="S254" s="321"/>
      <c r="T254" s="334"/>
      <c r="U254" s="365"/>
      <c r="V254" s="366">
        <f t="shared" si="27"/>
        <v>147.5</v>
      </c>
      <c r="W254" s="367">
        <f t="shared" si="35"/>
        <v>255.01541577470041</v>
      </c>
      <c r="X254" s="378"/>
      <c r="Y254" s="369"/>
      <c r="Z254" s="371">
        <f t="shared" si="28"/>
        <v>8.7416100000000004E-3</v>
      </c>
      <c r="AA254" s="371">
        <f t="shared" si="29"/>
        <v>0</v>
      </c>
      <c r="AB254" s="372" t="str">
        <f t="shared" si="30"/>
        <v>N</v>
      </c>
      <c r="AC254" s="337">
        <v>148</v>
      </c>
      <c r="AD254" s="334"/>
      <c r="AE254" s="334"/>
      <c r="AF254" s="334"/>
      <c r="AG254" s="334"/>
      <c r="AH254" s="333"/>
      <c r="AI254" s="334"/>
      <c r="AJ254" s="365"/>
      <c r="AK254" s="366">
        <f t="shared" si="31"/>
        <v>147.5</v>
      </c>
      <c r="AL254" s="367">
        <f t="shared" si="36"/>
        <v>905.51564753284731</v>
      </c>
      <c r="AM254" s="378"/>
      <c r="AN254" s="369"/>
      <c r="AO254" s="371">
        <f t="shared" si="32"/>
        <v>1.3451940000000001E-2</v>
      </c>
      <c r="AP254" s="371">
        <f t="shared" si="33"/>
        <v>0</v>
      </c>
      <c r="AQ254" s="372" t="str">
        <f t="shared" si="34"/>
        <v>N</v>
      </c>
      <c r="AR254" s="337">
        <v>148</v>
      </c>
      <c r="AS254" s="334"/>
      <c r="AT254" s="334"/>
      <c r="AU254" s="334"/>
      <c r="AV254" s="334"/>
      <c r="AW254" s="321"/>
    </row>
    <row r="255" spans="19:49">
      <c r="S255" s="321"/>
      <c r="T255" s="334"/>
      <c r="U255" s="365"/>
      <c r="V255" s="366">
        <f t="shared" si="27"/>
        <v>148.5</v>
      </c>
      <c r="W255" s="367">
        <f t="shared" si="35"/>
        <v>252.78617022254775</v>
      </c>
      <c r="X255" s="378"/>
      <c r="Y255" s="369"/>
      <c r="Z255" s="371">
        <f t="shared" si="28"/>
        <v>8.7416100000000004E-3</v>
      </c>
      <c r="AA255" s="371">
        <f t="shared" si="29"/>
        <v>0</v>
      </c>
      <c r="AB255" s="372" t="str">
        <f t="shared" si="30"/>
        <v>N</v>
      </c>
      <c r="AC255" s="337">
        <v>149</v>
      </c>
      <c r="AD255" s="334"/>
      <c r="AE255" s="334"/>
      <c r="AF255" s="334"/>
      <c r="AG255" s="334"/>
      <c r="AH255" s="333"/>
      <c r="AI255" s="334"/>
      <c r="AJ255" s="365"/>
      <c r="AK255" s="366">
        <f t="shared" si="31"/>
        <v>148.5</v>
      </c>
      <c r="AL255" s="367">
        <f t="shared" si="36"/>
        <v>893.33469902381739</v>
      </c>
      <c r="AM255" s="378"/>
      <c r="AN255" s="369"/>
      <c r="AO255" s="371">
        <f t="shared" si="32"/>
        <v>1.3451940000000001E-2</v>
      </c>
      <c r="AP255" s="371">
        <f t="shared" si="33"/>
        <v>0</v>
      </c>
      <c r="AQ255" s="372" t="str">
        <f t="shared" si="34"/>
        <v>N</v>
      </c>
      <c r="AR255" s="337">
        <v>149</v>
      </c>
      <c r="AS255" s="334"/>
      <c r="AT255" s="334"/>
      <c r="AU255" s="334"/>
      <c r="AV255" s="334"/>
      <c r="AW255" s="321"/>
    </row>
    <row r="256" spans="19:49">
      <c r="S256" s="321"/>
      <c r="T256" s="334"/>
      <c r="U256" s="365"/>
      <c r="V256" s="366">
        <f t="shared" si="27"/>
        <v>149.5</v>
      </c>
      <c r="W256" s="367">
        <f t="shared" si="35"/>
        <v>250.57641186773452</v>
      </c>
      <c r="X256" s="378"/>
      <c r="Y256" s="369"/>
      <c r="Z256" s="371">
        <f t="shared" si="28"/>
        <v>8.7416100000000004E-3</v>
      </c>
      <c r="AA256" s="371">
        <f t="shared" si="29"/>
        <v>0</v>
      </c>
      <c r="AB256" s="372" t="str">
        <f t="shared" si="30"/>
        <v>N</v>
      </c>
      <c r="AC256" s="337">
        <v>150</v>
      </c>
      <c r="AD256" s="334"/>
      <c r="AE256" s="334"/>
      <c r="AF256" s="334"/>
      <c r="AG256" s="334"/>
      <c r="AH256" s="333"/>
      <c r="AI256" s="334"/>
      <c r="AJ256" s="365"/>
      <c r="AK256" s="366">
        <f t="shared" si="31"/>
        <v>149.5</v>
      </c>
      <c r="AL256" s="367">
        <f t="shared" si="36"/>
        <v>881.31760798868504</v>
      </c>
      <c r="AM256" s="378"/>
      <c r="AN256" s="369"/>
      <c r="AO256" s="371">
        <f t="shared" si="32"/>
        <v>1.3451940000000001E-2</v>
      </c>
      <c r="AP256" s="371">
        <f t="shared" si="33"/>
        <v>0</v>
      </c>
      <c r="AQ256" s="372" t="str">
        <f t="shared" si="34"/>
        <v>N</v>
      </c>
      <c r="AR256" s="337">
        <v>150</v>
      </c>
      <c r="AS256" s="334"/>
      <c r="AT256" s="334"/>
      <c r="AU256" s="334"/>
      <c r="AV256" s="334"/>
      <c r="AW256" s="321"/>
    </row>
    <row r="257" spans="19:49">
      <c r="S257" s="321"/>
      <c r="T257" s="334"/>
      <c r="U257" s="365"/>
      <c r="V257" s="366">
        <f t="shared" si="27"/>
        <v>150.5</v>
      </c>
      <c r="W257" s="367">
        <f t="shared" si="35"/>
        <v>248.38597036076294</v>
      </c>
      <c r="X257" s="378"/>
      <c r="Y257" s="369"/>
      <c r="Z257" s="371">
        <f t="shared" si="28"/>
        <v>8.7416100000000004E-3</v>
      </c>
      <c r="AA257" s="371">
        <f t="shared" si="29"/>
        <v>0</v>
      </c>
      <c r="AB257" s="372" t="str">
        <f t="shared" si="30"/>
        <v>N</v>
      </c>
      <c r="AC257" s="337">
        <v>151</v>
      </c>
      <c r="AD257" s="334"/>
      <c r="AE257" s="334"/>
      <c r="AF257" s="334"/>
      <c r="AG257" s="334"/>
      <c r="AH257" s="333"/>
      <c r="AI257" s="334"/>
      <c r="AJ257" s="365"/>
      <c r="AK257" s="366">
        <f t="shared" si="31"/>
        <v>150.5</v>
      </c>
      <c r="AL257" s="367">
        <f t="shared" si="36"/>
        <v>869.46217022539406</v>
      </c>
      <c r="AM257" s="378"/>
      <c r="AN257" s="369"/>
      <c r="AO257" s="371">
        <f t="shared" si="32"/>
        <v>1.3451940000000001E-2</v>
      </c>
      <c r="AP257" s="371">
        <f t="shared" si="33"/>
        <v>0</v>
      </c>
      <c r="AQ257" s="372" t="str">
        <f t="shared" si="34"/>
        <v>N</v>
      </c>
      <c r="AR257" s="337">
        <v>151</v>
      </c>
      <c r="AS257" s="334"/>
      <c r="AT257" s="334"/>
      <c r="AU257" s="334"/>
      <c r="AV257" s="334"/>
      <c r="AW257" s="321"/>
    </row>
    <row r="258" spans="19:49">
      <c r="S258" s="321"/>
      <c r="T258" s="334"/>
      <c r="U258" s="365"/>
      <c r="V258" s="366">
        <f t="shared" si="27"/>
        <v>151.5</v>
      </c>
      <c r="W258" s="367">
        <f t="shared" si="35"/>
        <v>246.21467684126432</v>
      </c>
      <c r="X258" s="378"/>
      <c r="Y258" s="369"/>
      <c r="Z258" s="371">
        <f t="shared" si="28"/>
        <v>8.7416100000000004E-3</v>
      </c>
      <c r="AA258" s="371">
        <f t="shared" si="29"/>
        <v>0</v>
      </c>
      <c r="AB258" s="372" t="str">
        <f t="shared" si="30"/>
        <v>N</v>
      </c>
      <c r="AC258" s="337">
        <v>152</v>
      </c>
      <c r="AD258" s="334"/>
      <c r="AE258" s="334"/>
      <c r="AF258" s="334"/>
      <c r="AG258" s="334"/>
      <c r="AH258" s="333"/>
      <c r="AI258" s="334"/>
      <c r="AJ258" s="365"/>
      <c r="AK258" s="366">
        <f t="shared" si="31"/>
        <v>151.5</v>
      </c>
      <c r="AL258" s="367">
        <f t="shared" si="36"/>
        <v>857.7662111826977</v>
      </c>
      <c r="AM258" s="378"/>
      <c r="AN258" s="369"/>
      <c r="AO258" s="371">
        <f t="shared" si="32"/>
        <v>1.3451940000000001E-2</v>
      </c>
      <c r="AP258" s="371">
        <f t="shared" si="33"/>
        <v>0</v>
      </c>
      <c r="AQ258" s="372" t="str">
        <f t="shared" si="34"/>
        <v>N</v>
      </c>
      <c r="AR258" s="337">
        <v>152</v>
      </c>
      <c r="AS258" s="334"/>
      <c r="AT258" s="334"/>
      <c r="AU258" s="334"/>
      <c r="AV258" s="334"/>
      <c r="AW258" s="321"/>
    </row>
    <row r="259" spans="19:49">
      <c r="S259" s="321"/>
      <c r="T259" s="334"/>
      <c r="U259" s="365"/>
      <c r="V259" s="366">
        <f t="shared" si="27"/>
        <v>152.5</v>
      </c>
      <c r="W259" s="367">
        <f t="shared" si="35"/>
        <v>244.06236392498164</v>
      </c>
      <c r="X259" s="378"/>
      <c r="Y259" s="369"/>
      <c r="Z259" s="371">
        <f t="shared" si="28"/>
        <v>8.7416100000000004E-3</v>
      </c>
      <c r="AA259" s="371">
        <f t="shared" si="29"/>
        <v>0</v>
      </c>
      <c r="AB259" s="372" t="str">
        <f t="shared" si="30"/>
        <v>N</v>
      </c>
      <c r="AC259" s="337">
        <v>153</v>
      </c>
      <c r="AD259" s="334"/>
      <c r="AE259" s="334"/>
      <c r="AF259" s="334"/>
      <c r="AG259" s="334"/>
      <c r="AH259" s="333"/>
      <c r="AI259" s="334"/>
      <c r="AJ259" s="365"/>
      <c r="AK259" s="366">
        <f t="shared" si="31"/>
        <v>152.5</v>
      </c>
      <c r="AL259" s="367">
        <f t="shared" si="36"/>
        <v>846.22758556129668</v>
      </c>
      <c r="AM259" s="378"/>
      <c r="AN259" s="369"/>
      <c r="AO259" s="371">
        <f t="shared" si="32"/>
        <v>1.3451940000000001E-2</v>
      </c>
      <c r="AP259" s="371">
        <f t="shared" si="33"/>
        <v>0</v>
      </c>
      <c r="AQ259" s="372" t="str">
        <f t="shared" si="34"/>
        <v>N</v>
      </c>
      <c r="AR259" s="337">
        <v>153</v>
      </c>
      <c r="AS259" s="334"/>
      <c r="AT259" s="334"/>
      <c r="AU259" s="334"/>
      <c r="AV259" s="334"/>
      <c r="AW259" s="321"/>
    </row>
    <row r="260" spans="19:49">
      <c r="S260" s="321"/>
      <c r="T260" s="334"/>
      <c r="U260" s="365"/>
      <c r="V260" s="366">
        <f t="shared" si="27"/>
        <v>153.5</v>
      </c>
      <c r="W260" s="367">
        <f t="shared" si="35"/>
        <v>241.92886569086582</v>
      </c>
      <c r="X260" s="378"/>
      <c r="Y260" s="369"/>
      <c r="Z260" s="371">
        <f t="shared" si="28"/>
        <v>8.7416100000000004E-3</v>
      </c>
      <c r="AA260" s="371">
        <f t="shared" si="29"/>
        <v>0</v>
      </c>
      <c r="AB260" s="372" t="str">
        <f t="shared" si="30"/>
        <v>N</v>
      </c>
      <c r="AC260" s="337">
        <v>154</v>
      </c>
      <c r="AD260" s="334"/>
      <c r="AE260" s="334"/>
      <c r="AF260" s="334"/>
      <c r="AG260" s="334"/>
      <c r="AH260" s="333"/>
      <c r="AI260" s="334"/>
      <c r="AJ260" s="365"/>
      <c r="AK260" s="366">
        <f t="shared" si="31"/>
        <v>153.5</v>
      </c>
      <c r="AL260" s="367">
        <f t="shared" si="36"/>
        <v>834.84417692034424</v>
      </c>
      <c r="AM260" s="378"/>
      <c r="AN260" s="369"/>
      <c r="AO260" s="371">
        <f t="shared" si="32"/>
        <v>1.3451940000000001E-2</v>
      </c>
      <c r="AP260" s="371">
        <f t="shared" si="33"/>
        <v>0</v>
      </c>
      <c r="AQ260" s="372" t="str">
        <f t="shared" si="34"/>
        <v>N</v>
      </c>
      <c r="AR260" s="337">
        <v>154</v>
      </c>
      <c r="AS260" s="334"/>
      <c r="AT260" s="334"/>
      <c r="AU260" s="334"/>
      <c r="AV260" s="334"/>
      <c r="AW260" s="321"/>
    </row>
    <row r="261" spans="19:49">
      <c r="S261" s="321"/>
      <c r="T261" s="334"/>
      <c r="U261" s="365"/>
      <c r="V261" s="366">
        <f t="shared" si="27"/>
        <v>154.5</v>
      </c>
      <c r="W261" s="367">
        <f t="shared" si="35"/>
        <v>239.8140176682852</v>
      </c>
      <c r="X261" s="378"/>
      <c r="Y261" s="369"/>
      <c r="Z261" s="371">
        <f t="shared" si="28"/>
        <v>8.7416100000000004E-3</v>
      </c>
      <c r="AA261" s="371">
        <f t="shared" si="29"/>
        <v>0</v>
      </c>
      <c r="AB261" s="372" t="str">
        <f t="shared" si="30"/>
        <v>N</v>
      </c>
      <c r="AC261" s="337">
        <v>155</v>
      </c>
      <c r="AD261" s="334"/>
      <c r="AE261" s="334"/>
      <c r="AF261" s="334"/>
      <c r="AG261" s="334"/>
      <c r="AH261" s="333"/>
      <c r="AI261" s="334"/>
      <c r="AJ261" s="365"/>
      <c r="AK261" s="366">
        <f t="shared" si="31"/>
        <v>154.5</v>
      </c>
      <c r="AL261" s="367">
        <f t="shared" si="36"/>
        <v>823.61389728924439</v>
      </c>
      <c r="AM261" s="378"/>
      <c r="AN261" s="369"/>
      <c r="AO261" s="371">
        <f t="shared" si="32"/>
        <v>1.3451940000000001E-2</v>
      </c>
      <c r="AP261" s="371">
        <f t="shared" si="33"/>
        <v>0</v>
      </c>
      <c r="AQ261" s="372" t="str">
        <f t="shared" si="34"/>
        <v>N</v>
      </c>
      <c r="AR261" s="337">
        <v>155</v>
      </c>
      <c r="AS261" s="334"/>
      <c r="AT261" s="334"/>
      <c r="AU261" s="334"/>
      <c r="AV261" s="334"/>
      <c r="AW261" s="321"/>
    </row>
    <row r="262" spans="19:49" ht="15.05" thickBot="1">
      <c r="S262" s="321"/>
      <c r="T262" s="334"/>
      <c r="U262" s="373">
        <f>1+U250</f>
        <v>13</v>
      </c>
      <c r="V262" s="374">
        <f t="shared" si="27"/>
        <v>155.5</v>
      </c>
      <c r="W262" s="367">
        <f t="shared" si="35"/>
        <v>237.71765682434628</v>
      </c>
      <c r="X262" s="375">
        <f>SUM(W251:W262)</f>
        <v>2995.1207286687045</v>
      </c>
      <c r="Y262" s="376">
        <f>-(X262/X250-1)</f>
        <v>9.9999999999999978E-2</v>
      </c>
      <c r="Z262" s="371">
        <f t="shared" si="28"/>
        <v>8.7416100000000004E-3</v>
      </c>
      <c r="AA262" s="371">
        <f t="shared" si="29"/>
        <v>0</v>
      </c>
      <c r="AB262" s="372" t="str">
        <f t="shared" si="30"/>
        <v>N</v>
      </c>
      <c r="AC262" s="337">
        <v>156</v>
      </c>
      <c r="AD262" s="334"/>
      <c r="AE262" s="334"/>
      <c r="AF262" s="334"/>
      <c r="AG262" s="334"/>
      <c r="AH262" s="333"/>
      <c r="AI262" s="334"/>
      <c r="AJ262" s="373">
        <f>1+AJ250</f>
        <v>13</v>
      </c>
      <c r="AK262" s="374">
        <f t="shared" si="31"/>
        <v>155.5</v>
      </c>
      <c r="AL262" s="367">
        <f t="shared" si="36"/>
        <v>812.53468678467073</v>
      </c>
      <c r="AM262" s="375">
        <f>SUM(AL251:AL262)</f>
        <v>10515.921587963108</v>
      </c>
      <c r="AN262" s="376">
        <f>-(AM262/AM250-1)</f>
        <v>0.15000000000000013</v>
      </c>
      <c r="AO262" s="371">
        <f t="shared" si="32"/>
        <v>1.3451940000000001E-2</v>
      </c>
      <c r="AP262" s="371">
        <f t="shared" si="33"/>
        <v>0</v>
      </c>
      <c r="AQ262" s="372" t="str">
        <f t="shared" si="34"/>
        <v>N</v>
      </c>
      <c r="AR262" s="337">
        <v>156</v>
      </c>
      <c r="AS262" s="334"/>
      <c r="AT262" s="334"/>
      <c r="AU262" s="334"/>
      <c r="AV262" s="334"/>
      <c r="AW262" s="321"/>
    </row>
    <row r="263" spans="19:49">
      <c r="S263" s="321"/>
      <c r="T263" s="334"/>
      <c r="U263" s="365"/>
      <c r="V263" s="366">
        <f t="shared" si="27"/>
        <v>156.5</v>
      </c>
      <c r="W263" s="377">
        <f t="shared" si="35"/>
        <v>235.63962155132575</v>
      </c>
      <c r="X263" s="378"/>
      <c r="Y263" s="369"/>
      <c r="Z263" s="371">
        <f t="shared" si="28"/>
        <v>8.7416100000000004E-3</v>
      </c>
      <c r="AA263" s="371">
        <f t="shared" si="29"/>
        <v>0</v>
      </c>
      <c r="AB263" s="372" t="str">
        <f t="shared" si="30"/>
        <v>N</v>
      </c>
      <c r="AC263" s="337">
        <v>157</v>
      </c>
      <c r="AD263" s="334"/>
      <c r="AE263" s="334"/>
      <c r="AF263" s="334"/>
      <c r="AG263" s="334"/>
      <c r="AH263" s="333"/>
      <c r="AI263" s="334"/>
      <c r="AJ263" s="365"/>
      <c r="AK263" s="366">
        <f t="shared" si="31"/>
        <v>156.5</v>
      </c>
      <c r="AL263" s="377">
        <f t="shared" si="36"/>
        <v>801.60451323273787</v>
      </c>
      <c r="AM263" s="378"/>
      <c r="AN263" s="369"/>
      <c r="AO263" s="371">
        <f t="shared" si="32"/>
        <v>1.3451940000000001E-2</v>
      </c>
      <c r="AP263" s="371">
        <f t="shared" si="33"/>
        <v>0</v>
      </c>
      <c r="AQ263" s="372" t="str">
        <f t="shared" si="34"/>
        <v>N</v>
      </c>
      <c r="AR263" s="337">
        <v>157</v>
      </c>
      <c r="AS263" s="334"/>
      <c r="AT263" s="334"/>
      <c r="AU263" s="334"/>
      <c r="AV263" s="334"/>
      <c r="AW263" s="321"/>
    </row>
    <row r="264" spans="19:49">
      <c r="S264" s="321"/>
      <c r="T264" s="334"/>
      <c r="U264" s="365"/>
      <c r="V264" s="366">
        <f t="shared" si="27"/>
        <v>157.5</v>
      </c>
      <c r="W264" s="367">
        <f t="shared" si="35"/>
        <v>233.57975165421209</v>
      </c>
      <c r="X264" s="378"/>
      <c r="Y264" s="369"/>
      <c r="Z264" s="371">
        <f t="shared" si="28"/>
        <v>8.7416100000000004E-3</v>
      </c>
      <c r="AA264" s="371">
        <f t="shared" si="29"/>
        <v>0</v>
      </c>
      <c r="AB264" s="372" t="str">
        <f t="shared" si="30"/>
        <v>N</v>
      </c>
      <c r="AC264" s="337">
        <v>158</v>
      </c>
      <c r="AD264" s="334"/>
      <c r="AE264" s="334"/>
      <c r="AF264" s="334"/>
      <c r="AG264" s="334"/>
      <c r="AH264" s="333"/>
      <c r="AI264" s="334"/>
      <c r="AJ264" s="365"/>
      <c r="AK264" s="366">
        <f t="shared" si="31"/>
        <v>157.5</v>
      </c>
      <c r="AL264" s="367">
        <f t="shared" si="36"/>
        <v>790.82137179625602</v>
      </c>
      <c r="AM264" s="378"/>
      <c r="AN264" s="369"/>
      <c r="AO264" s="371">
        <f t="shared" si="32"/>
        <v>1.3451940000000001E-2</v>
      </c>
      <c r="AP264" s="371">
        <f t="shared" si="33"/>
        <v>0</v>
      </c>
      <c r="AQ264" s="372" t="str">
        <f t="shared" si="34"/>
        <v>N</v>
      </c>
      <c r="AR264" s="337">
        <v>158</v>
      </c>
      <c r="AS264" s="334"/>
      <c r="AT264" s="334"/>
      <c r="AU264" s="334"/>
      <c r="AV264" s="334"/>
      <c r="AW264" s="321"/>
    </row>
    <row r="265" spans="19:49">
      <c r="S265" s="321"/>
      <c r="T265" s="334"/>
      <c r="U265" s="365"/>
      <c r="V265" s="366">
        <f t="shared" si="27"/>
        <v>158.5</v>
      </c>
      <c r="W265" s="367">
        <f t="shared" si="35"/>
        <v>231.53788833835628</v>
      </c>
      <c r="X265" s="378"/>
      <c r="Y265" s="369"/>
      <c r="Z265" s="371">
        <f t="shared" si="28"/>
        <v>8.7416100000000004E-3</v>
      </c>
      <c r="AA265" s="371">
        <f t="shared" si="29"/>
        <v>0</v>
      </c>
      <c r="AB265" s="372" t="str">
        <f t="shared" si="30"/>
        <v>N</v>
      </c>
      <c r="AC265" s="337">
        <v>159</v>
      </c>
      <c r="AD265" s="334"/>
      <c r="AE265" s="334"/>
      <c r="AF265" s="334"/>
      <c r="AG265" s="334"/>
      <c r="AH265" s="333"/>
      <c r="AI265" s="334"/>
      <c r="AJ265" s="365"/>
      <c r="AK265" s="366">
        <f t="shared" si="31"/>
        <v>158.5</v>
      </c>
      <c r="AL265" s="367">
        <f t="shared" si="36"/>
        <v>780.18328460699934</v>
      </c>
      <c r="AM265" s="378"/>
      <c r="AN265" s="369"/>
      <c r="AO265" s="371">
        <f t="shared" si="32"/>
        <v>1.3451940000000001E-2</v>
      </c>
      <c r="AP265" s="371">
        <f t="shared" si="33"/>
        <v>0</v>
      </c>
      <c r="AQ265" s="372" t="str">
        <f t="shared" si="34"/>
        <v>N</v>
      </c>
      <c r="AR265" s="337">
        <v>159</v>
      </c>
      <c r="AS265" s="334"/>
      <c r="AT265" s="334"/>
      <c r="AU265" s="334"/>
      <c r="AV265" s="334"/>
      <c r="AW265" s="321"/>
    </row>
    <row r="266" spans="19:49">
      <c r="S266" s="321"/>
      <c r="T266" s="334"/>
      <c r="U266" s="365"/>
      <c r="V266" s="366">
        <f t="shared" si="27"/>
        <v>159.5</v>
      </c>
      <c r="W266" s="367">
        <f t="shared" si="35"/>
        <v>229.51387419723036</v>
      </c>
      <c r="X266" s="378"/>
      <c r="Y266" s="369"/>
      <c r="Z266" s="371">
        <f t="shared" si="28"/>
        <v>8.7416100000000004E-3</v>
      </c>
      <c r="AA266" s="371">
        <f t="shared" si="29"/>
        <v>0</v>
      </c>
      <c r="AB266" s="372" t="str">
        <f t="shared" si="30"/>
        <v>N</v>
      </c>
      <c r="AC266" s="337">
        <v>160</v>
      </c>
      <c r="AD266" s="334"/>
      <c r="AE266" s="334"/>
      <c r="AF266" s="334"/>
      <c r="AG266" s="334"/>
      <c r="AH266" s="333"/>
      <c r="AI266" s="334"/>
      <c r="AJ266" s="365"/>
      <c r="AK266" s="366">
        <f t="shared" si="31"/>
        <v>159.5</v>
      </c>
      <c r="AL266" s="367">
        <f t="shared" si="36"/>
        <v>769.68830040292016</v>
      </c>
      <c r="AM266" s="378"/>
      <c r="AN266" s="369"/>
      <c r="AO266" s="371">
        <f t="shared" si="32"/>
        <v>1.3451940000000001E-2</v>
      </c>
      <c r="AP266" s="371">
        <f t="shared" si="33"/>
        <v>0</v>
      </c>
      <c r="AQ266" s="372" t="str">
        <f t="shared" si="34"/>
        <v>N</v>
      </c>
      <c r="AR266" s="337">
        <v>160</v>
      </c>
      <c r="AS266" s="334"/>
      <c r="AT266" s="334"/>
      <c r="AU266" s="334"/>
      <c r="AV266" s="334"/>
      <c r="AW266" s="321"/>
    </row>
    <row r="267" spans="19:49">
      <c r="S267" s="321"/>
      <c r="T267" s="334"/>
      <c r="U267" s="365"/>
      <c r="V267" s="366">
        <f t="shared" si="27"/>
        <v>160.5</v>
      </c>
      <c r="W267" s="367">
        <f t="shared" si="35"/>
        <v>227.50755320029302</v>
      </c>
      <c r="X267" s="378"/>
      <c r="Y267" s="369"/>
      <c r="Z267" s="371">
        <f t="shared" si="28"/>
        <v>8.7416100000000004E-3</v>
      </c>
      <c r="AA267" s="371">
        <f t="shared" si="29"/>
        <v>0</v>
      </c>
      <c r="AB267" s="372" t="str">
        <f t="shared" si="30"/>
        <v>N</v>
      </c>
      <c r="AC267" s="337">
        <v>161</v>
      </c>
      <c r="AD267" s="334"/>
      <c r="AE267" s="334"/>
      <c r="AF267" s="334"/>
      <c r="AG267" s="334"/>
      <c r="AH267" s="333"/>
      <c r="AI267" s="334"/>
      <c r="AJ267" s="365"/>
      <c r="AK267" s="366">
        <f t="shared" si="31"/>
        <v>160.5</v>
      </c>
      <c r="AL267" s="367">
        <f t="shared" si="36"/>
        <v>759.33449417024474</v>
      </c>
      <c r="AM267" s="378"/>
      <c r="AN267" s="369"/>
      <c r="AO267" s="371">
        <f t="shared" si="32"/>
        <v>1.3451940000000001E-2</v>
      </c>
      <c r="AP267" s="371">
        <f t="shared" si="33"/>
        <v>0</v>
      </c>
      <c r="AQ267" s="372" t="str">
        <f t="shared" si="34"/>
        <v>N</v>
      </c>
      <c r="AR267" s="337">
        <v>161</v>
      </c>
      <c r="AS267" s="334"/>
      <c r="AT267" s="334"/>
      <c r="AU267" s="334"/>
      <c r="AV267" s="334"/>
      <c r="AW267" s="321"/>
    </row>
    <row r="268" spans="19:49">
      <c r="S268" s="321"/>
      <c r="T268" s="334"/>
      <c r="U268" s="365"/>
      <c r="V268" s="366">
        <f t="shared" si="27"/>
        <v>161.5</v>
      </c>
      <c r="W268" s="367">
        <f t="shared" si="35"/>
        <v>225.51877068096107</v>
      </c>
      <c r="X268" s="378"/>
      <c r="Y268" s="369"/>
      <c r="Z268" s="371">
        <f t="shared" si="28"/>
        <v>8.7416100000000004E-3</v>
      </c>
      <c r="AA268" s="371">
        <f t="shared" si="29"/>
        <v>0</v>
      </c>
      <c r="AB268" s="372" t="str">
        <f t="shared" si="30"/>
        <v>N</v>
      </c>
      <c r="AC268" s="337">
        <v>162</v>
      </c>
      <c r="AD268" s="334"/>
      <c r="AE268" s="334"/>
      <c r="AF268" s="334"/>
      <c r="AG268" s="334"/>
      <c r="AH268" s="333"/>
      <c r="AI268" s="334"/>
      <c r="AJ268" s="365"/>
      <c r="AK268" s="366">
        <f t="shared" si="31"/>
        <v>161.5</v>
      </c>
      <c r="AL268" s="367">
        <f t="shared" si="36"/>
        <v>749.11996679038236</v>
      </c>
      <c r="AM268" s="378"/>
      <c r="AN268" s="369"/>
      <c r="AO268" s="371">
        <f t="shared" si="32"/>
        <v>1.3451940000000001E-2</v>
      </c>
      <c r="AP268" s="371">
        <f t="shared" si="33"/>
        <v>0</v>
      </c>
      <c r="AQ268" s="372" t="str">
        <f t="shared" si="34"/>
        <v>N</v>
      </c>
      <c r="AR268" s="337">
        <v>162</v>
      </c>
      <c r="AS268" s="334"/>
      <c r="AT268" s="334"/>
      <c r="AU268" s="334"/>
      <c r="AV268" s="334"/>
      <c r="AW268" s="321"/>
    </row>
    <row r="269" spans="19:49">
      <c r="S269" s="321"/>
      <c r="T269" s="334"/>
      <c r="U269" s="365"/>
      <c r="V269" s="366">
        <f t="shared" si="27"/>
        <v>162.5</v>
      </c>
      <c r="W269" s="367">
        <f t="shared" si="35"/>
        <v>223.54737332468665</v>
      </c>
      <c r="X269" s="378"/>
      <c r="Y269" s="369"/>
      <c r="Z269" s="371">
        <f t="shared" si="28"/>
        <v>8.7416100000000004E-3</v>
      </c>
      <c r="AA269" s="371">
        <f t="shared" si="29"/>
        <v>0</v>
      </c>
      <c r="AB269" s="372" t="str">
        <f t="shared" si="30"/>
        <v>N</v>
      </c>
      <c r="AC269" s="337">
        <v>163</v>
      </c>
      <c r="AD269" s="334"/>
      <c r="AE269" s="334"/>
      <c r="AF269" s="334"/>
      <c r="AG269" s="334"/>
      <c r="AH269" s="333"/>
      <c r="AI269" s="334"/>
      <c r="AJ269" s="365"/>
      <c r="AK269" s="366">
        <f t="shared" si="31"/>
        <v>162.5</v>
      </c>
      <c r="AL269" s="367">
        <f t="shared" si="36"/>
        <v>739.04284469158506</v>
      </c>
      <c r="AM269" s="378"/>
      <c r="AN269" s="369"/>
      <c r="AO269" s="371">
        <f t="shared" si="32"/>
        <v>1.3451940000000001E-2</v>
      </c>
      <c r="AP269" s="371">
        <f t="shared" si="33"/>
        <v>0</v>
      </c>
      <c r="AQ269" s="372" t="str">
        <f t="shared" si="34"/>
        <v>N</v>
      </c>
      <c r="AR269" s="337">
        <v>163</v>
      </c>
      <c r="AS269" s="334"/>
      <c r="AT269" s="334"/>
      <c r="AU269" s="334"/>
      <c r="AV269" s="334"/>
      <c r="AW269" s="321"/>
    </row>
    <row r="270" spans="19:49">
      <c r="S270" s="321"/>
      <c r="T270" s="334"/>
      <c r="U270" s="365"/>
      <c r="V270" s="366">
        <f t="shared" si="27"/>
        <v>163.5</v>
      </c>
      <c r="W270" s="367">
        <f t="shared" si="35"/>
        <v>221.59320915713789</v>
      </c>
      <c r="X270" s="378"/>
      <c r="Y270" s="369"/>
      <c r="Z270" s="371">
        <f t="shared" si="28"/>
        <v>8.7416100000000004E-3</v>
      </c>
      <c r="AA270" s="371">
        <f t="shared" si="29"/>
        <v>0</v>
      </c>
      <c r="AB270" s="372" t="str">
        <f t="shared" si="30"/>
        <v>N</v>
      </c>
      <c r="AC270" s="337">
        <v>164</v>
      </c>
      <c r="AD270" s="334"/>
      <c r="AE270" s="334"/>
      <c r="AF270" s="334"/>
      <c r="AG270" s="334"/>
      <c r="AH270" s="333"/>
      <c r="AI270" s="334"/>
      <c r="AJ270" s="365"/>
      <c r="AK270" s="366">
        <f t="shared" si="31"/>
        <v>163.5</v>
      </c>
      <c r="AL270" s="367">
        <f t="shared" si="36"/>
        <v>729.10127950529306</v>
      </c>
      <c r="AM270" s="378"/>
      <c r="AN270" s="369"/>
      <c r="AO270" s="371">
        <f t="shared" si="32"/>
        <v>1.3451940000000001E-2</v>
      </c>
      <c r="AP270" s="371">
        <f t="shared" si="33"/>
        <v>0</v>
      </c>
      <c r="AQ270" s="372" t="str">
        <f t="shared" si="34"/>
        <v>N</v>
      </c>
      <c r="AR270" s="337">
        <v>164</v>
      </c>
      <c r="AS270" s="334"/>
      <c r="AT270" s="334"/>
      <c r="AU270" s="334"/>
      <c r="AV270" s="334"/>
      <c r="AW270" s="321"/>
    </row>
    <row r="271" spans="19:49">
      <c r="S271" s="321"/>
      <c r="T271" s="334"/>
      <c r="U271" s="365"/>
      <c r="V271" s="366">
        <f t="shared" si="27"/>
        <v>164.5</v>
      </c>
      <c r="W271" s="367">
        <f t="shared" si="35"/>
        <v>219.65612753248348</v>
      </c>
      <c r="X271" s="378"/>
      <c r="Y271" s="369"/>
      <c r="Z271" s="371">
        <f t="shared" si="28"/>
        <v>8.7416100000000004E-3</v>
      </c>
      <c r="AA271" s="371">
        <f t="shared" si="29"/>
        <v>0</v>
      </c>
      <c r="AB271" s="372" t="str">
        <f t="shared" si="30"/>
        <v>N</v>
      </c>
      <c r="AC271" s="337">
        <v>165</v>
      </c>
      <c r="AD271" s="334"/>
      <c r="AE271" s="334"/>
      <c r="AF271" s="334"/>
      <c r="AG271" s="334"/>
      <c r="AH271" s="333"/>
      <c r="AI271" s="334"/>
      <c r="AJ271" s="365"/>
      <c r="AK271" s="366">
        <f t="shared" si="31"/>
        <v>164.5</v>
      </c>
      <c r="AL271" s="367">
        <f t="shared" si="36"/>
        <v>719.29344772710203</v>
      </c>
      <c r="AM271" s="378"/>
      <c r="AN271" s="369"/>
      <c r="AO271" s="371">
        <f t="shared" si="32"/>
        <v>1.3451940000000001E-2</v>
      </c>
      <c r="AP271" s="371">
        <f t="shared" si="33"/>
        <v>0</v>
      </c>
      <c r="AQ271" s="372" t="str">
        <f t="shared" si="34"/>
        <v>N</v>
      </c>
      <c r="AR271" s="337">
        <v>165</v>
      </c>
      <c r="AS271" s="334"/>
      <c r="AT271" s="334"/>
      <c r="AU271" s="334"/>
      <c r="AV271" s="334"/>
      <c r="AW271" s="321"/>
    </row>
    <row r="272" spans="19:49">
      <c r="S272" s="321"/>
      <c r="T272" s="334"/>
      <c r="U272" s="365"/>
      <c r="V272" s="366">
        <f t="shared" si="27"/>
        <v>165.5</v>
      </c>
      <c r="W272" s="367">
        <f t="shared" si="35"/>
        <v>217.73597912177925</v>
      </c>
      <c r="X272" s="378"/>
      <c r="Y272" s="369"/>
      <c r="Z272" s="371">
        <f t="shared" si="28"/>
        <v>8.7416100000000004E-3</v>
      </c>
      <c r="AA272" s="371">
        <f t="shared" si="29"/>
        <v>0</v>
      </c>
      <c r="AB272" s="372" t="str">
        <f t="shared" si="30"/>
        <v>N</v>
      </c>
      <c r="AC272" s="337">
        <v>166</v>
      </c>
      <c r="AD272" s="334"/>
      <c r="AE272" s="334"/>
      <c r="AF272" s="334"/>
      <c r="AG272" s="334"/>
      <c r="AH272" s="333"/>
      <c r="AI272" s="334"/>
      <c r="AJ272" s="365"/>
      <c r="AK272" s="366">
        <f t="shared" si="31"/>
        <v>165.5</v>
      </c>
      <c r="AL272" s="367">
        <f t="shared" si="36"/>
        <v>709.61755038229262</v>
      </c>
      <c r="AM272" s="378"/>
      <c r="AN272" s="369"/>
      <c r="AO272" s="371">
        <f t="shared" si="32"/>
        <v>1.3451940000000001E-2</v>
      </c>
      <c r="AP272" s="371">
        <f t="shared" si="33"/>
        <v>0</v>
      </c>
      <c r="AQ272" s="372" t="str">
        <f t="shared" si="34"/>
        <v>N</v>
      </c>
      <c r="AR272" s="337">
        <v>166</v>
      </c>
      <c r="AS272" s="334"/>
      <c r="AT272" s="334"/>
      <c r="AU272" s="334"/>
      <c r="AV272" s="334"/>
      <c r="AW272" s="321"/>
    </row>
    <row r="273" spans="19:49">
      <c r="S273" s="321"/>
      <c r="T273" s="334"/>
      <c r="U273" s="365"/>
      <c r="V273" s="366">
        <f t="shared" si="27"/>
        <v>166.5</v>
      </c>
      <c r="W273" s="367">
        <f t="shared" si="35"/>
        <v>215.83261590145671</v>
      </c>
      <c r="X273" s="378"/>
      <c r="Y273" s="369"/>
      <c r="Z273" s="371">
        <f t="shared" si="28"/>
        <v>8.7416100000000004E-3</v>
      </c>
      <c r="AA273" s="371">
        <f t="shared" si="29"/>
        <v>0</v>
      </c>
      <c r="AB273" s="372" t="str">
        <f t="shared" si="30"/>
        <v>N</v>
      </c>
      <c r="AC273" s="337">
        <v>167</v>
      </c>
      <c r="AD273" s="334"/>
      <c r="AE273" s="334"/>
      <c r="AF273" s="334"/>
      <c r="AG273" s="334"/>
      <c r="AH273" s="333"/>
      <c r="AI273" s="334"/>
      <c r="AJ273" s="365"/>
      <c r="AK273" s="366">
        <f t="shared" si="31"/>
        <v>166.5</v>
      </c>
      <c r="AL273" s="367">
        <f t="shared" si="36"/>
        <v>700.07181269585772</v>
      </c>
      <c r="AM273" s="378"/>
      <c r="AN273" s="369"/>
      <c r="AO273" s="371">
        <f t="shared" si="32"/>
        <v>1.3451940000000001E-2</v>
      </c>
      <c r="AP273" s="371">
        <f t="shared" si="33"/>
        <v>0</v>
      </c>
      <c r="AQ273" s="372" t="str">
        <f t="shared" si="34"/>
        <v>N</v>
      </c>
      <c r="AR273" s="337">
        <v>167</v>
      </c>
      <c r="AS273" s="334"/>
      <c r="AT273" s="334"/>
      <c r="AU273" s="334"/>
      <c r="AV273" s="334"/>
      <c r="AW273" s="321"/>
    </row>
    <row r="274" spans="19:49" ht="15.05" thickBot="1">
      <c r="S274" s="321"/>
      <c r="T274" s="334"/>
      <c r="U274" s="373">
        <f>1+U262</f>
        <v>14</v>
      </c>
      <c r="V274" s="374">
        <f t="shared" si="27"/>
        <v>167.5</v>
      </c>
      <c r="W274" s="367">
        <f t="shared" si="35"/>
        <v>213.94589114191169</v>
      </c>
      <c r="X274" s="375">
        <f>SUM(W263:W274)</f>
        <v>2695.6086558018342</v>
      </c>
      <c r="Y274" s="376">
        <f>-(X274/X262-1)</f>
        <v>9.9999999999999978E-2</v>
      </c>
      <c r="Z274" s="371">
        <f t="shared" si="28"/>
        <v>8.7416100000000004E-3</v>
      </c>
      <c r="AA274" s="371">
        <f t="shared" si="29"/>
        <v>0</v>
      </c>
      <c r="AB274" s="372" t="str">
        <f t="shared" si="30"/>
        <v>N</v>
      </c>
      <c r="AC274" s="337">
        <v>168</v>
      </c>
      <c r="AD274" s="334"/>
      <c r="AE274" s="334"/>
      <c r="AF274" s="334"/>
      <c r="AG274" s="334"/>
      <c r="AH274" s="333"/>
      <c r="AI274" s="334"/>
      <c r="AJ274" s="373">
        <f>1+AJ262</f>
        <v>14</v>
      </c>
      <c r="AK274" s="374">
        <f t="shared" si="31"/>
        <v>167.5</v>
      </c>
      <c r="AL274" s="367">
        <f t="shared" si="36"/>
        <v>690.65448376697009</v>
      </c>
      <c r="AM274" s="375">
        <f>SUM(AL263:AL274)</f>
        <v>8938.5333497686406</v>
      </c>
      <c r="AN274" s="376">
        <f>-(AM274/AM262-1)</f>
        <v>0.15000000000000013</v>
      </c>
      <c r="AO274" s="371">
        <f t="shared" si="32"/>
        <v>1.3451940000000001E-2</v>
      </c>
      <c r="AP274" s="371">
        <f t="shared" si="33"/>
        <v>0</v>
      </c>
      <c r="AQ274" s="372" t="str">
        <f t="shared" si="34"/>
        <v>N</v>
      </c>
      <c r="AR274" s="337">
        <v>168</v>
      </c>
      <c r="AS274" s="334"/>
      <c r="AT274" s="334"/>
      <c r="AU274" s="334"/>
      <c r="AV274" s="334"/>
      <c r="AW274" s="321"/>
    </row>
    <row r="275" spans="19:49">
      <c r="S275" s="321"/>
      <c r="T275" s="334"/>
      <c r="U275" s="365"/>
      <c r="V275" s="366">
        <f t="shared" si="27"/>
        <v>168.5</v>
      </c>
      <c r="W275" s="377">
        <f t="shared" si="35"/>
        <v>212.0756593961932</v>
      </c>
      <c r="X275" s="378"/>
      <c r="Y275" s="369"/>
      <c r="Z275" s="371">
        <f t="shared" si="28"/>
        <v>8.7416100000000004E-3</v>
      </c>
      <c r="AA275" s="371">
        <f t="shared" si="29"/>
        <v>0</v>
      </c>
      <c r="AB275" s="372" t="str">
        <f t="shared" si="30"/>
        <v>N</v>
      </c>
      <c r="AC275" s="337">
        <v>169</v>
      </c>
      <c r="AD275" s="334"/>
      <c r="AE275" s="334"/>
      <c r="AF275" s="334"/>
      <c r="AG275" s="334"/>
      <c r="AH275" s="333"/>
      <c r="AI275" s="334"/>
      <c r="AJ275" s="365"/>
      <c r="AK275" s="366">
        <f t="shared" si="31"/>
        <v>168.5</v>
      </c>
      <c r="AL275" s="377">
        <f t="shared" si="36"/>
        <v>681.36383624782707</v>
      </c>
      <c r="AM275" s="378"/>
      <c r="AN275" s="369"/>
      <c r="AO275" s="371">
        <f t="shared" si="32"/>
        <v>1.3451940000000001E-2</v>
      </c>
      <c r="AP275" s="371">
        <f t="shared" si="33"/>
        <v>0</v>
      </c>
      <c r="AQ275" s="372" t="str">
        <f t="shared" si="34"/>
        <v>N</v>
      </c>
      <c r="AR275" s="337">
        <v>169</v>
      </c>
      <c r="AS275" s="334"/>
      <c r="AT275" s="334"/>
      <c r="AU275" s="334"/>
      <c r="AV275" s="334"/>
      <c r="AW275" s="321"/>
    </row>
    <row r="276" spans="19:49">
      <c r="S276" s="321"/>
      <c r="T276" s="334"/>
      <c r="U276" s="365"/>
      <c r="V276" s="366">
        <f t="shared" si="27"/>
        <v>169.5</v>
      </c>
      <c r="W276" s="367">
        <f t="shared" si="35"/>
        <v>210.22177648879091</v>
      </c>
      <c r="X276" s="378"/>
      <c r="Y276" s="369"/>
      <c r="Z276" s="371">
        <f t="shared" si="28"/>
        <v>8.7416100000000004E-3</v>
      </c>
      <c r="AA276" s="371">
        <f t="shared" si="29"/>
        <v>0</v>
      </c>
      <c r="AB276" s="372" t="str">
        <f t="shared" si="30"/>
        <v>N</v>
      </c>
      <c r="AC276" s="337">
        <v>170</v>
      </c>
      <c r="AD276" s="334"/>
      <c r="AE276" s="334"/>
      <c r="AF276" s="334"/>
      <c r="AG276" s="334"/>
      <c r="AH276" s="333"/>
      <c r="AI276" s="334"/>
      <c r="AJ276" s="365"/>
      <c r="AK276" s="366">
        <f t="shared" si="31"/>
        <v>169.5</v>
      </c>
      <c r="AL276" s="367">
        <f t="shared" si="36"/>
        <v>672.1981660268176</v>
      </c>
      <c r="AM276" s="378"/>
      <c r="AN276" s="369"/>
      <c r="AO276" s="371">
        <f t="shared" si="32"/>
        <v>1.3451940000000001E-2</v>
      </c>
      <c r="AP276" s="371">
        <f t="shared" si="33"/>
        <v>0</v>
      </c>
      <c r="AQ276" s="372" t="str">
        <f t="shared" si="34"/>
        <v>N</v>
      </c>
      <c r="AR276" s="337">
        <v>170</v>
      </c>
      <c r="AS276" s="334"/>
      <c r="AT276" s="334"/>
      <c r="AU276" s="334"/>
      <c r="AV276" s="334"/>
      <c r="AW276" s="321"/>
    </row>
    <row r="277" spans="19:49">
      <c r="S277" s="321"/>
      <c r="T277" s="334"/>
      <c r="U277" s="365"/>
      <c r="V277" s="366">
        <f t="shared" si="27"/>
        <v>170.5</v>
      </c>
      <c r="W277" s="367">
        <f t="shared" si="35"/>
        <v>208.38409950452069</v>
      </c>
      <c r="X277" s="378"/>
      <c r="Y277" s="369"/>
      <c r="Z277" s="371">
        <f t="shared" si="28"/>
        <v>8.7416100000000004E-3</v>
      </c>
      <c r="AA277" s="371">
        <f t="shared" si="29"/>
        <v>0</v>
      </c>
      <c r="AB277" s="372" t="str">
        <f t="shared" si="30"/>
        <v>N</v>
      </c>
      <c r="AC277" s="337">
        <v>171</v>
      </c>
      <c r="AD277" s="334"/>
      <c r="AE277" s="334"/>
      <c r="AF277" s="334"/>
      <c r="AG277" s="334"/>
      <c r="AH277" s="333"/>
      <c r="AI277" s="334"/>
      <c r="AJ277" s="365"/>
      <c r="AK277" s="366">
        <f t="shared" si="31"/>
        <v>170.5</v>
      </c>
      <c r="AL277" s="367">
        <f t="shared" si="36"/>
        <v>663.15579191594929</v>
      </c>
      <c r="AM277" s="378"/>
      <c r="AN277" s="369"/>
      <c r="AO277" s="371">
        <f t="shared" si="32"/>
        <v>1.3451940000000001E-2</v>
      </c>
      <c r="AP277" s="371">
        <f t="shared" si="33"/>
        <v>0</v>
      </c>
      <c r="AQ277" s="372" t="str">
        <f t="shared" si="34"/>
        <v>N</v>
      </c>
      <c r="AR277" s="337">
        <v>171</v>
      </c>
      <c r="AS277" s="334"/>
      <c r="AT277" s="334"/>
      <c r="AU277" s="334"/>
      <c r="AV277" s="334"/>
      <c r="AW277" s="321"/>
    </row>
    <row r="278" spans="19:49">
      <c r="S278" s="321"/>
      <c r="T278" s="334"/>
      <c r="U278" s="365"/>
      <c r="V278" s="366">
        <f t="shared" si="27"/>
        <v>171.5</v>
      </c>
      <c r="W278" s="367">
        <f t="shared" si="35"/>
        <v>206.56248677750736</v>
      </c>
      <c r="X278" s="378"/>
      <c r="Y278" s="369"/>
      <c r="Z278" s="371">
        <f t="shared" si="28"/>
        <v>8.7416100000000004E-3</v>
      </c>
      <c r="AA278" s="371">
        <f t="shared" si="29"/>
        <v>0</v>
      </c>
      <c r="AB278" s="372" t="str">
        <f t="shared" si="30"/>
        <v>N</v>
      </c>
      <c r="AC278" s="337">
        <v>172</v>
      </c>
      <c r="AD278" s="334"/>
      <c r="AE278" s="334"/>
      <c r="AF278" s="334"/>
      <c r="AG278" s="334"/>
      <c r="AH278" s="333"/>
      <c r="AI278" s="334"/>
      <c r="AJ278" s="365"/>
      <c r="AK278" s="366">
        <f t="shared" si="31"/>
        <v>171.5</v>
      </c>
      <c r="AL278" s="367">
        <f t="shared" si="36"/>
        <v>654.23505534248227</v>
      </c>
      <c r="AM278" s="378"/>
      <c r="AN278" s="369"/>
      <c r="AO278" s="371">
        <f t="shared" si="32"/>
        <v>1.3451940000000001E-2</v>
      </c>
      <c r="AP278" s="371">
        <f t="shared" si="33"/>
        <v>0</v>
      </c>
      <c r="AQ278" s="372" t="str">
        <f t="shared" si="34"/>
        <v>N</v>
      </c>
      <c r="AR278" s="337">
        <v>172</v>
      </c>
      <c r="AS278" s="334"/>
      <c r="AT278" s="334"/>
      <c r="AU278" s="334"/>
      <c r="AV278" s="334"/>
      <c r="AW278" s="321"/>
    </row>
    <row r="279" spans="19:49">
      <c r="S279" s="321"/>
      <c r="T279" s="334"/>
      <c r="U279" s="365"/>
      <c r="V279" s="366">
        <f t="shared" si="27"/>
        <v>172.5</v>
      </c>
      <c r="W279" s="367">
        <f t="shared" si="35"/>
        <v>204.75679788026369</v>
      </c>
      <c r="X279" s="378"/>
      <c r="Y279" s="369"/>
      <c r="Z279" s="371">
        <f t="shared" si="28"/>
        <v>8.7416100000000004E-3</v>
      </c>
      <c r="AA279" s="371">
        <f t="shared" si="29"/>
        <v>0</v>
      </c>
      <c r="AB279" s="372" t="str">
        <f t="shared" si="30"/>
        <v>N</v>
      </c>
      <c r="AC279" s="337">
        <v>173</v>
      </c>
      <c r="AD279" s="334"/>
      <c r="AE279" s="334"/>
      <c r="AF279" s="334"/>
      <c r="AG279" s="334"/>
      <c r="AH279" s="333"/>
      <c r="AI279" s="334"/>
      <c r="AJ279" s="365"/>
      <c r="AK279" s="366">
        <f t="shared" si="31"/>
        <v>172.5</v>
      </c>
      <c r="AL279" s="367">
        <f t="shared" si="36"/>
        <v>645.43432004470799</v>
      </c>
      <c r="AM279" s="378"/>
      <c r="AN279" s="369"/>
      <c r="AO279" s="371">
        <f t="shared" si="32"/>
        <v>1.3451940000000001E-2</v>
      </c>
      <c r="AP279" s="371">
        <f t="shared" si="33"/>
        <v>0</v>
      </c>
      <c r="AQ279" s="372" t="str">
        <f t="shared" si="34"/>
        <v>N</v>
      </c>
      <c r="AR279" s="337">
        <v>173</v>
      </c>
      <c r="AS279" s="334"/>
      <c r="AT279" s="334"/>
      <c r="AU279" s="334"/>
      <c r="AV279" s="334"/>
      <c r="AW279" s="321"/>
    </row>
    <row r="280" spans="19:49">
      <c r="S280" s="321"/>
      <c r="T280" s="334"/>
      <c r="U280" s="365"/>
      <c r="V280" s="366">
        <f t="shared" si="27"/>
        <v>173.5</v>
      </c>
      <c r="W280" s="367">
        <f t="shared" si="35"/>
        <v>202.96689361286499</v>
      </c>
      <c r="X280" s="378"/>
      <c r="Y280" s="369"/>
      <c r="Z280" s="371">
        <f t="shared" si="28"/>
        <v>8.7416100000000004E-3</v>
      </c>
      <c r="AA280" s="371">
        <f t="shared" si="29"/>
        <v>0</v>
      </c>
      <c r="AB280" s="372" t="str">
        <f t="shared" si="30"/>
        <v>N</v>
      </c>
      <c r="AC280" s="337">
        <v>174</v>
      </c>
      <c r="AD280" s="334"/>
      <c r="AE280" s="334"/>
      <c r="AF280" s="334"/>
      <c r="AG280" s="334"/>
      <c r="AH280" s="333"/>
      <c r="AI280" s="334"/>
      <c r="AJ280" s="365"/>
      <c r="AK280" s="366">
        <f t="shared" si="31"/>
        <v>173.5</v>
      </c>
      <c r="AL280" s="367">
        <f t="shared" si="36"/>
        <v>636.75197177182497</v>
      </c>
      <c r="AM280" s="378"/>
      <c r="AN280" s="369"/>
      <c r="AO280" s="371">
        <f t="shared" si="32"/>
        <v>1.3451940000000001E-2</v>
      </c>
      <c r="AP280" s="371">
        <f t="shared" si="33"/>
        <v>0</v>
      </c>
      <c r="AQ280" s="372" t="str">
        <f t="shared" si="34"/>
        <v>N</v>
      </c>
      <c r="AR280" s="337">
        <v>174</v>
      </c>
      <c r="AS280" s="334"/>
      <c r="AT280" s="334"/>
      <c r="AU280" s="334"/>
      <c r="AV280" s="334"/>
      <c r="AW280" s="321"/>
    </row>
    <row r="281" spans="19:49">
      <c r="S281" s="321"/>
      <c r="T281" s="334"/>
      <c r="U281" s="365"/>
      <c r="V281" s="366">
        <f t="shared" si="27"/>
        <v>174.5</v>
      </c>
      <c r="W281" s="367">
        <f t="shared" si="35"/>
        <v>201.19263599221799</v>
      </c>
      <c r="X281" s="378"/>
      <c r="Y281" s="369"/>
      <c r="Z281" s="371">
        <f t="shared" si="28"/>
        <v>8.7416100000000004E-3</v>
      </c>
      <c r="AA281" s="371">
        <f t="shared" si="29"/>
        <v>0</v>
      </c>
      <c r="AB281" s="372" t="str">
        <f t="shared" si="30"/>
        <v>N</v>
      </c>
      <c r="AC281" s="337">
        <v>175</v>
      </c>
      <c r="AD281" s="334"/>
      <c r="AE281" s="334"/>
      <c r="AF281" s="334"/>
      <c r="AG281" s="334"/>
      <c r="AH281" s="333"/>
      <c r="AI281" s="334"/>
      <c r="AJ281" s="365"/>
      <c r="AK281" s="366">
        <f t="shared" si="31"/>
        <v>174.5</v>
      </c>
      <c r="AL281" s="367">
        <f t="shared" si="36"/>
        <v>628.18641798784745</v>
      </c>
      <c r="AM281" s="378"/>
      <c r="AN281" s="369"/>
      <c r="AO281" s="371">
        <f t="shared" si="32"/>
        <v>1.3451940000000001E-2</v>
      </c>
      <c r="AP281" s="371">
        <f t="shared" si="33"/>
        <v>0</v>
      </c>
      <c r="AQ281" s="372" t="str">
        <f t="shared" si="34"/>
        <v>N</v>
      </c>
      <c r="AR281" s="337">
        <v>175</v>
      </c>
      <c r="AS281" s="334"/>
      <c r="AT281" s="334"/>
      <c r="AU281" s="334"/>
      <c r="AV281" s="334"/>
      <c r="AW281" s="321"/>
    </row>
    <row r="282" spans="19:49">
      <c r="S282" s="321"/>
      <c r="T282" s="334"/>
      <c r="U282" s="365"/>
      <c r="V282" s="366">
        <f t="shared" si="27"/>
        <v>175.5</v>
      </c>
      <c r="W282" s="367">
        <f t="shared" si="35"/>
        <v>199.43388824142411</v>
      </c>
      <c r="X282" s="378"/>
      <c r="Y282" s="369"/>
      <c r="Z282" s="371">
        <f t="shared" si="28"/>
        <v>8.7416100000000004E-3</v>
      </c>
      <c r="AA282" s="371">
        <f t="shared" si="29"/>
        <v>0</v>
      </c>
      <c r="AB282" s="372" t="str">
        <f t="shared" si="30"/>
        <v>N</v>
      </c>
      <c r="AC282" s="337">
        <v>176</v>
      </c>
      <c r="AD282" s="334"/>
      <c r="AE282" s="334"/>
      <c r="AF282" s="334"/>
      <c r="AG282" s="334"/>
      <c r="AH282" s="333"/>
      <c r="AI282" s="334"/>
      <c r="AJ282" s="365"/>
      <c r="AK282" s="366">
        <f t="shared" si="31"/>
        <v>175.5</v>
      </c>
      <c r="AL282" s="367">
        <f t="shared" si="36"/>
        <v>619.7360875794991</v>
      </c>
      <c r="AM282" s="378"/>
      <c r="AN282" s="369"/>
      <c r="AO282" s="371">
        <f t="shared" si="32"/>
        <v>1.3451940000000001E-2</v>
      </c>
      <c r="AP282" s="371">
        <f t="shared" si="33"/>
        <v>0</v>
      </c>
      <c r="AQ282" s="372" t="str">
        <f t="shared" si="34"/>
        <v>N</v>
      </c>
      <c r="AR282" s="337">
        <v>176</v>
      </c>
      <c r="AS282" s="334"/>
      <c r="AT282" s="334"/>
      <c r="AU282" s="334"/>
      <c r="AV282" s="334"/>
      <c r="AW282" s="321"/>
    </row>
    <row r="283" spans="19:49">
      <c r="S283" s="321"/>
      <c r="T283" s="334"/>
      <c r="U283" s="365"/>
      <c r="V283" s="366">
        <f t="shared" si="27"/>
        <v>176.5</v>
      </c>
      <c r="W283" s="367">
        <f t="shared" si="35"/>
        <v>197.69051477923514</v>
      </c>
      <c r="X283" s="378"/>
      <c r="Y283" s="369"/>
      <c r="Z283" s="371">
        <f t="shared" si="28"/>
        <v>8.7416100000000004E-3</v>
      </c>
      <c r="AA283" s="371">
        <f t="shared" si="29"/>
        <v>0</v>
      </c>
      <c r="AB283" s="372" t="str">
        <f t="shared" si="30"/>
        <v>N</v>
      </c>
      <c r="AC283" s="337">
        <v>177</v>
      </c>
      <c r="AD283" s="334"/>
      <c r="AE283" s="334"/>
      <c r="AF283" s="334"/>
      <c r="AG283" s="334"/>
      <c r="AH283" s="333"/>
      <c r="AI283" s="334"/>
      <c r="AJ283" s="365"/>
      <c r="AK283" s="366">
        <f t="shared" si="31"/>
        <v>176.5</v>
      </c>
      <c r="AL283" s="367">
        <f t="shared" si="36"/>
        <v>611.39943056803668</v>
      </c>
      <c r="AM283" s="378"/>
      <c r="AN283" s="369"/>
      <c r="AO283" s="371">
        <f t="shared" si="32"/>
        <v>1.3451940000000001E-2</v>
      </c>
      <c r="AP283" s="371">
        <f t="shared" si="33"/>
        <v>0</v>
      </c>
      <c r="AQ283" s="372" t="str">
        <f t="shared" si="34"/>
        <v>N</v>
      </c>
      <c r="AR283" s="337">
        <v>177</v>
      </c>
      <c r="AS283" s="334"/>
      <c r="AT283" s="334"/>
      <c r="AU283" s="334"/>
      <c r="AV283" s="334"/>
      <c r="AW283" s="321"/>
    </row>
    <row r="284" spans="19:49">
      <c r="S284" s="321"/>
      <c r="T284" s="334"/>
      <c r="U284" s="365"/>
      <c r="V284" s="366">
        <f t="shared" si="27"/>
        <v>177.5</v>
      </c>
      <c r="W284" s="367">
        <f t="shared" si="35"/>
        <v>195.96238120960132</v>
      </c>
      <c r="X284" s="378"/>
      <c r="Y284" s="369"/>
      <c r="Z284" s="371">
        <f t="shared" si="28"/>
        <v>8.7416100000000004E-3</v>
      </c>
      <c r="AA284" s="371">
        <f t="shared" si="29"/>
        <v>0</v>
      </c>
      <c r="AB284" s="372" t="str">
        <f t="shared" si="30"/>
        <v>N</v>
      </c>
      <c r="AC284" s="337">
        <v>178</v>
      </c>
      <c r="AD284" s="334"/>
      <c r="AE284" s="334"/>
      <c r="AF284" s="334"/>
      <c r="AG284" s="334"/>
      <c r="AH284" s="333"/>
      <c r="AI284" s="334"/>
      <c r="AJ284" s="365"/>
      <c r="AK284" s="366">
        <f t="shared" si="31"/>
        <v>177.5</v>
      </c>
      <c r="AL284" s="367">
        <f t="shared" si="36"/>
        <v>603.17491782494869</v>
      </c>
      <c r="AM284" s="378"/>
      <c r="AN284" s="369"/>
      <c r="AO284" s="371">
        <f t="shared" si="32"/>
        <v>1.3451940000000001E-2</v>
      </c>
      <c r="AP284" s="371">
        <f t="shared" si="33"/>
        <v>0</v>
      </c>
      <c r="AQ284" s="372" t="str">
        <f t="shared" si="34"/>
        <v>N</v>
      </c>
      <c r="AR284" s="337">
        <v>178</v>
      </c>
      <c r="AS284" s="334"/>
      <c r="AT284" s="334"/>
      <c r="AU284" s="334"/>
      <c r="AV284" s="334"/>
      <c r="AW284" s="321"/>
    </row>
    <row r="285" spans="19:49">
      <c r="S285" s="321"/>
      <c r="T285" s="334"/>
      <c r="U285" s="365"/>
      <c r="V285" s="366">
        <f t="shared" si="27"/>
        <v>178.5</v>
      </c>
      <c r="W285" s="367">
        <f t="shared" si="35"/>
        <v>194.24935431131104</v>
      </c>
      <c r="X285" s="378"/>
      <c r="Y285" s="369"/>
      <c r="Z285" s="371">
        <f t="shared" si="28"/>
        <v>8.7416100000000004E-3</v>
      </c>
      <c r="AA285" s="371">
        <f t="shared" si="29"/>
        <v>0</v>
      </c>
      <c r="AB285" s="372" t="str">
        <f t="shared" si="30"/>
        <v>N</v>
      </c>
      <c r="AC285" s="337">
        <v>179</v>
      </c>
      <c r="AD285" s="334"/>
      <c r="AE285" s="334"/>
      <c r="AF285" s="334"/>
      <c r="AG285" s="334"/>
      <c r="AH285" s="333"/>
      <c r="AI285" s="334"/>
      <c r="AJ285" s="365"/>
      <c r="AK285" s="366">
        <f t="shared" si="31"/>
        <v>178.5</v>
      </c>
      <c r="AL285" s="367">
        <f t="shared" si="36"/>
        <v>595.06104079147906</v>
      </c>
      <c r="AM285" s="378"/>
      <c r="AN285" s="369"/>
      <c r="AO285" s="371">
        <f t="shared" si="32"/>
        <v>1.3451940000000001E-2</v>
      </c>
      <c r="AP285" s="371">
        <f t="shared" si="33"/>
        <v>0</v>
      </c>
      <c r="AQ285" s="372" t="str">
        <f t="shared" si="34"/>
        <v>N</v>
      </c>
      <c r="AR285" s="337">
        <v>179</v>
      </c>
      <c r="AS285" s="334"/>
      <c r="AT285" s="334"/>
      <c r="AU285" s="334"/>
      <c r="AV285" s="334"/>
      <c r="AW285" s="321"/>
    </row>
    <row r="286" spans="19:49" ht="15.05" thickBot="1">
      <c r="S286" s="321"/>
      <c r="T286" s="334"/>
      <c r="U286" s="373">
        <f>1+U274</f>
        <v>15</v>
      </c>
      <c r="V286" s="374">
        <f t="shared" si="27"/>
        <v>179.5</v>
      </c>
      <c r="W286" s="367">
        <f t="shared" si="35"/>
        <v>192.55130202772051</v>
      </c>
      <c r="X286" s="375">
        <f>SUM(W275:W286)</f>
        <v>2426.0477902216508</v>
      </c>
      <c r="Y286" s="376">
        <f>-(X286/X274-1)</f>
        <v>9.9999999999999978E-2</v>
      </c>
      <c r="Z286" s="371">
        <f t="shared" si="28"/>
        <v>8.7416100000000004E-3</v>
      </c>
      <c r="AA286" s="371">
        <f t="shared" si="29"/>
        <v>0</v>
      </c>
      <c r="AB286" s="372" t="str">
        <f t="shared" si="30"/>
        <v>N</v>
      </c>
      <c r="AC286" s="337">
        <v>180</v>
      </c>
      <c r="AD286" s="334"/>
      <c r="AE286" s="334"/>
      <c r="AF286" s="334"/>
      <c r="AG286" s="334"/>
      <c r="AH286" s="333"/>
      <c r="AI286" s="334"/>
      <c r="AJ286" s="373">
        <f>1+AJ274</f>
        <v>15</v>
      </c>
      <c r="AK286" s="374">
        <f t="shared" si="31"/>
        <v>179.5</v>
      </c>
      <c r="AL286" s="367">
        <f t="shared" si="36"/>
        <v>587.05631120192447</v>
      </c>
      <c r="AM286" s="375">
        <f>SUM(AL275:AL286)</f>
        <v>7597.7533473033454</v>
      </c>
      <c r="AN286" s="376">
        <f>-(AM286/AM274-1)</f>
        <v>0.14999999999999991</v>
      </c>
      <c r="AO286" s="371">
        <f t="shared" si="32"/>
        <v>1.3451940000000001E-2</v>
      </c>
      <c r="AP286" s="371">
        <f t="shared" si="33"/>
        <v>0</v>
      </c>
      <c r="AQ286" s="372" t="str">
        <f t="shared" si="34"/>
        <v>N</v>
      </c>
      <c r="AR286" s="337">
        <v>180</v>
      </c>
      <c r="AS286" s="334"/>
      <c r="AT286" s="334"/>
      <c r="AU286" s="334"/>
      <c r="AV286" s="334"/>
      <c r="AW286" s="321"/>
    </row>
    <row r="287" spans="19:49">
      <c r="S287" s="321"/>
      <c r="T287" s="334"/>
      <c r="U287" s="365"/>
      <c r="V287" s="366">
        <f t="shared" si="27"/>
        <v>180.5</v>
      </c>
      <c r="W287" s="377">
        <f t="shared" si="35"/>
        <v>190.86809345657386</v>
      </c>
      <c r="X287" s="378"/>
      <c r="Y287" s="369"/>
      <c r="Z287" s="371">
        <f t="shared" si="28"/>
        <v>8.7416100000000004E-3</v>
      </c>
      <c r="AA287" s="371">
        <f t="shared" si="29"/>
        <v>0</v>
      </c>
      <c r="AB287" s="372" t="str">
        <f t="shared" si="30"/>
        <v>N</v>
      </c>
      <c r="AC287" s="337">
        <v>181</v>
      </c>
      <c r="AD287" s="334"/>
      <c r="AE287" s="334"/>
      <c r="AF287" s="334"/>
      <c r="AG287" s="334"/>
      <c r="AH287" s="333"/>
      <c r="AI287" s="334"/>
      <c r="AJ287" s="365"/>
      <c r="AK287" s="366">
        <f t="shared" si="31"/>
        <v>180.5</v>
      </c>
      <c r="AL287" s="377">
        <f t="shared" si="36"/>
        <v>579.15926081065311</v>
      </c>
      <c r="AM287" s="378"/>
      <c r="AN287" s="369"/>
      <c r="AO287" s="371">
        <f t="shared" si="32"/>
        <v>1.3451940000000001E-2</v>
      </c>
      <c r="AP287" s="371">
        <f t="shared" si="33"/>
        <v>0</v>
      </c>
      <c r="AQ287" s="372" t="str">
        <f t="shared" si="34"/>
        <v>N</v>
      </c>
      <c r="AR287" s="337">
        <v>181</v>
      </c>
      <c r="AS287" s="334"/>
      <c r="AT287" s="334"/>
      <c r="AU287" s="334"/>
      <c r="AV287" s="334"/>
      <c r="AW287" s="321"/>
    </row>
    <row r="288" spans="19:49">
      <c r="S288" s="321"/>
      <c r="T288" s="334"/>
      <c r="U288" s="365"/>
      <c r="V288" s="366">
        <f t="shared" si="27"/>
        <v>181.5</v>
      </c>
      <c r="W288" s="367">
        <f t="shared" si="35"/>
        <v>189.1995988399118</v>
      </c>
      <c r="X288" s="378"/>
      <c r="Y288" s="369"/>
      <c r="Z288" s="371">
        <f t="shared" si="28"/>
        <v>8.7416100000000004E-3</v>
      </c>
      <c r="AA288" s="371">
        <f t="shared" si="29"/>
        <v>0</v>
      </c>
      <c r="AB288" s="372" t="str">
        <f t="shared" si="30"/>
        <v>N</v>
      </c>
      <c r="AC288" s="337">
        <v>182</v>
      </c>
      <c r="AD288" s="334"/>
      <c r="AE288" s="334"/>
      <c r="AF288" s="334"/>
      <c r="AG288" s="334"/>
      <c r="AH288" s="333"/>
      <c r="AI288" s="334"/>
      <c r="AJ288" s="365"/>
      <c r="AK288" s="366">
        <f t="shared" si="31"/>
        <v>181.5</v>
      </c>
      <c r="AL288" s="367">
        <f t="shared" si="36"/>
        <v>571.36844112279493</v>
      </c>
      <c r="AM288" s="378"/>
      <c r="AN288" s="369"/>
      <c r="AO288" s="371">
        <f t="shared" si="32"/>
        <v>1.3451940000000001E-2</v>
      </c>
      <c r="AP288" s="371">
        <f t="shared" si="33"/>
        <v>0</v>
      </c>
      <c r="AQ288" s="372" t="str">
        <f t="shared" si="34"/>
        <v>N</v>
      </c>
      <c r="AR288" s="337">
        <v>182</v>
      </c>
      <c r="AS288" s="334"/>
      <c r="AT288" s="334"/>
      <c r="AU288" s="334"/>
      <c r="AV288" s="334"/>
      <c r="AW288" s="321"/>
    </row>
    <row r="289" spans="19:49">
      <c r="S289" s="321"/>
      <c r="T289" s="334"/>
      <c r="U289" s="365"/>
      <c r="V289" s="366">
        <f t="shared" si="27"/>
        <v>182.5</v>
      </c>
      <c r="W289" s="367">
        <f t="shared" si="35"/>
        <v>187.54568955406862</v>
      </c>
      <c r="X289" s="378"/>
      <c r="Y289" s="369"/>
      <c r="Z289" s="371">
        <f t="shared" si="28"/>
        <v>8.7416100000000004E-3</v>
      </c>
      <c r="AA289" s="371">
        <f t="shared" si="29"/>
        <v>0</v>
      </c>
      <c r="AB289" s="372" t="str">
        <f t="shared" si="30"/>
        <v>N</v>
      </c>
      <c r="AC289" s="337">
        <v>183</v>
      </c>
      <c r="AD289" s="334"/>
      <c r="AE289" s="334"/>
      <c r="AF289" s="334"/>
      <c r="AG289" s="334"/>
      <c r="AH289" s="333"/>
      <c r="AI289" s="334"/>
      <c r="AJ289" s="365"/>
      <c r="AK289" s="366">
        <f t="shared" si="31"/>
        <v>182.5</v>
      </c>
      <c r="AL289" s="367">
        <f t="shared" si="36"/>
        <v>563.68242312855693</v>
      </c>
      <c r="AM289" s="378"/>
      <c r="AN289" s="369"/>
      <c r="AO289" s="371">
        <f t="shared" si="32"/>
        <v>1.3451940000000001E-2</v>
      </c>
      <c r="AP289" s="371">
        <f t="shared" si="33"/>
        <v>0</v>
      </c>
      <c r="AQ289" s="372" t="str">
        <f t="shared" si="34"/>
        <v>N</v>
      </c>
      <c r="AR289" s="337">
        <v>183</v>
      </c>
      <c r="AS289" s="334"/>
      <c r="AT289" s="334"/>
      <c r="AU289" s="334"/>
      <c r="AV289" s="334"/>
      <c r="AW289" s="321"/>
    </row>
    <row r="290" spans="19:49">
      <c r="S290" s="321"/>
      <c r="T290" s="334"/>
      <c r="U290" s="365"/>
      <c r="V290" s="366">
        <f t="shared" si="27"/>
        <v>183.5</v>
      </c>
      <c r="W290" s="367">
        <f t="shared" si="35"/>
        <v>185.90623809975665</v>
      </c>
      <c r="X290" s="378"/>
      <c r="Y290" s="369"/>
      <c r="Z290" s="371">
        <f t="shared" si="28"/>
        <v>8.7416100000000004E-3</v>
      </c>
      <c r="AA290" s="371">
        <f t="shared" si="29"/>
        <v>0</v>
      </c>
      <c r="AB290" s="372" t="str">
        <f t="shared" si="30"/>
        <v>N</v>
      </c>
      <c r="AC290" s="337">
        <v>184</v>
      </c>
      <c r="AD290" s="334"/>
      <c r="AE290" s="334"/>
      <c r="AF290" s="334"/>
      <c r="AG290" s="334"/>
      <c r="AH290" s="333"/>
      <c r="AI290" s="334"/>
      <c r="AJ290" s="365"/>
      <c r="AK290" s="366">
        <f t="shared" si="31"/>
        <v>183.5</v>
      </c>
      <c r="AL290" s="367">
        <f t="shared" si="36"/>
        <v>556.09979704110981</v>
      </c>
      <c r="AM290" s="378"/>
      <c r="AN290" s="369"/>
      <c r="AO290" s="371">
        <f t="shared" si="32"/>
        <v>1.3451940000000001E-2</v>
      </c>
      <c r="AP290" s="371">
        <f t="shared" si="33"/>
        <v>0</v>
      </c>
      <c r="AQ290" s="372" t="str">
        <f t="shared" si="34"/>
        <v>N</v>
      </c>
      <c r="AR290" s="337">
        <v>184</v>
      </c>
      <c r="AS290" s="334"/>
      <c r="AT290" s="334"/>
      <c r="AU290" s="334"/>
      <c r="AV290" s="334"/>
      <c r="AW290" s="321"/>
    </row>
    <row r="291" spans="19:49">
      <c r="S291" s="321"/>
      <c r="T291" s="334"/>
      <c r="U291" s="365"/>
      <c r="V291" s="366">
        <f t="shared" si="27"/>
        <v>184.5</v>
      </c>
      <c r="W291" s="367">
        <f t="shared" si="35"/>
        <v>184.28111809223734</v>
      </c>
      <c r="X291" s="378"/>
      <c r="Y291" s="369"/>
      <c r="Z291" s="371">
        <f t="shared" si="28"/>
        <v>8.7416100000000004E-3</v>
      </c>
      <c r="AA291" s="371">
        <f t="shared" si="29"/>
        <v>0</v>
      </c>
      <c r="AB291" s="372" t="str">
        <f t="shared" si="30"/>
        <v>N</v>
      </c>
      <c r="AC291" s="337">
        <v>185</v>
      </c>
      <c r="AD291" s="334"/>
      <c r="AE291" s="334"/>
      <c r="AF291" s="334"/>
      <c r="AG291" s="334"/>
      <c r="AH291" s="333"/>
      <c r="AI291" s="334"/>
      <c r="AJ291" s="365"/>
      <c r="AK291" s="366">
        <f t="shared" si="31"/>
        <v>184.5</v>
      </c>
      <c r="AL291" s="367">
        <f t="shared" si="36"/>
        <v>548.61917203800169</v>
      </c>
      <c r="AM291" s="378"/>
      <c r="AN291" s="369"/>
      <c r="AO291" s="371">
        <f t="shared" si="32"/>
        <v>1.3451940000000001E-2</v>
      </c>
      <c r="AP291" s="371">
        <f t="shared" si="33"/>
        <v>0</v>
      </c>
      <c r="AQ291" s="372" t="str">
        <f t="shared" si="34"/>
        <v>N</v>
      </c>
      <c r="AR291" s="337">
        <v>185</v>
      </c>
      <c r="AS291" s="334"/>
      <c r="AT291" s="334"/>
      <c r="AU291" s="334"/>
      <c r="AV291" s="334"/>
      <c r="AW291" s="321"/>
    </row>
    <row r="292" spans="19:49">
      <c r="S292" s="321"/>
      <c r="T292" s="334"/>
      <c r="U292" s="365"/>
      <c r="V292" s="366">
        <f t="shared" si="27"/>
        <v>185.5</v>
      </c>
      <c r="W292" s="367">
        <f t="shared" si="35"/>
        <v>182.67020425157847</v>
      </c>
      <c r="X292" s="378"/>
      <c r="Y292" s="369"/>
      <c r="Z292" s="371">
        <f t="shared" si="28"/>
        <v>8.7416100000000004E-3</v>
      </c>
      <c r="AA292" s="371">
        <f t="shared" si="29"/>
        <v>0</v>
      </c>
      <c r="AB292" s="372" t="str">
        <f t="shared" si="30"/>
        <v>N</v>
      </c>
      <c r="AC292" s="337">
        <v>186</v>
      </c>
      <c r="AD292" s="334"/>
      <c r="AE292" s="334"/>
      <c r="AF292" s="334"/>
      <c r="AG292" s="334"/>
      <c r="AH292" s="333"/>
      <c r="AI292" s="334"/>
      <c r="AJ292" s="365"/>
      <c r="AK292" s="366">
        <f t="shared" si="31"/>
        <v>185.5</v>
      </c>
      <c r="AL292" s="367">
        <f t="shared" si="36"/>
        <v>541.23917600605103</v>
      </c>
      <c r="AM292" s="378"/>
      <c r="AN292" s="369"/>
      <c r="AO292" s="371">
        <f t="shared" si="32"/>
        <v>1.3451940000000001E-2</v>
      </c>
      <c r="AP292" s="371">
        <f t="shared" si="33"/>
        <v>0</v>
      </c>
      <c r="AQ292" s="372" t="str">
        <f t="shared" si="34"/>
        <v>N</v>
      </c>
      <c r="AR292" s="337">
        <v>186</v>
      </c>
      <c r="AS292" s="334"/>
      <c r="AT292" s="334"/>
      <c r="AU292" s="334"/>
      <c r="AV292" s="334"/>
      <c r="AW292" s="321"/>
    </row>
    <row r="293" spans="19:49">
      <c r="S293" s="321"/>
      <c r="T293" s="334"/>
      <c r="U293" s="365"/>
      <c r="V293" s="366">
        <f t="shared" si="27"/>
        <v>186.5</v>
      </c>
      <c r="W293" s="367">
        <f t="shared" si="35"/>
        <v>181.07337239299622</v>
      </c>
      <c r="X293" s="378"/>
      <c r="Y293" s="369"/>
      <c r="Z293" s="371">
        <f t="shared" si="28"/>
        <v>8.7416100000000004E-3</v>
      </c>
      <c r="AA293" s="371">
        <f t="shared" si="29"/>
        <v>0</v>
      </c>
      <c r="AB293" s="372" t="str">
        <f t="shared" si="30"/>
        <v>N</v>
      </c>
      <c r="AC293" s="337">
        <v>187</v>
      </c>
      <c r="AD293" s="334"/>
      <c r="AE293" s="334"/>
      <c r="AF293" s="334"/>
      <c r="AG293" s="334"/>
      <c r="AH293" s="333"/>
      <c r="AI293" s="334"/>
      <c r="AJ293" s="365"/>
      <c r="AK293" s="366">
        <f t="shared" si="31"/>
        <v>186.5</v>
      </c>
      <c r="AL293" s="367">
        <f t="shared" si="36"/>
        <v>533.95845528967027</v>
      </c>
      <c r="AM293" s="378"/>
      <c r="AN293" s="369"/>
      <c r="AO293" s="371">
        <f t="shared" si="32"/>
        <v>1.3451940000000001E-2</v>
      </c>
      <c r="AP293" s="371">
        <f t="shared" si="33"/>
        <v>0</v>
      </c>
      <c r="AQ293" s="372" t="str">
        <f t="shared" si="34"/>
        <v>N</v>
      </c>
      <c r="AR293" s="337">
        <v>187</v>
      </c>
      <c r="AS293" s="334"/>
      <c r="AT293" s="334"/>
      <c r="AU293" s="334"/>
      <c r="AV293" s="334"/>
      <c r="AW293" s="321"/>
    </row>
    <row r="294" spans="19:49">
      <c r="S294" s="321"/>
      <c r="T294" s="334"/>
      <c r="U294" s="365"/>
      <c r="V294" s="366">
        <f t="shared" si="27"/>
        <v>187.5</v>
      </c>
      <c r="W294" s="367">
        <f t="shared" si="35"/>
        <v>179.49049941728171</v>
      </c>
      <c r="X294" s="378"/>
      <c r="Y294" s="369"/>
      <c r="Z294" s="371">
        <f t="shared" si="28"/>
        <v>8.7416100000000004E-3</v>
      </c>
      <c r="AA294" s="371">
        <f t="shared" si="29"/>
        <v>0</v>
      </c>
      <c r="AB294" s="372" t="str">
        <f t="shared" si="30"/>
        <v>N</v>
      </c>
      <c r="AC294" s="337">
        <v>188</v>
      </c>
      <c r="AD294" s="334"/>
      <c r="AE294" s="334"/>
      <c r="AF294" s="334"/>
      <c r="AG294" s="334"/>
      <c r="AH294" s="333"/>
      <c r="AI294" s="334"/>
      <c r="AJ294" s="365"/>
      <c r="AK294" s="366">
        <f t="shared" si="31"/>
        <v>187.5</v>
      </c>
      <c r="AL294" s="367">
        <f t="shared" si="36"/>
        <v>526.7756744425742</v>
      </c>
      <c r="AM294" s="378"/>
      <c r="AN294" s="369"/>
      <c r="AO294" s="371">
        <f t="shared" si="32"/>
        <v>1.3451940000000001E-2</v>
      </c>
      <c r="AP294" s="371">
        <f t="shared" si="33"/>
        <v>0</v>
      </c>
      <c r="AQ294" s="372" t="str">
        <f t="shared" si="34"/>
        <v>N</v>
      </c>
      <c r="AR294" s="337">
        <v>188</v>
      </c>
      <c r="AS294" s="334"/>
      <c r="AT294" s="334"/>
      <c r="AU294" s="334"/>
      <c r="AV294" s="334"/>
      <c r="AW294" s="321"/>
    </row>
    <row r="295" spans="19:49">
      <c r="S295" s="321"/>
      <c r="T295" s="334"/>
      <c r="U295" s="365"/>
      <c r="V295" s="366">
        <f t="shared" si="27"/>
        <v>188.5</v>
      </c>
      <c r="W295" s="367">
        <f t="shared" si="35"/>
        <v>177.9214633013116</v>
      </c>
      <c r="X295" s="378"/>
      <c r="Y295" s="369"/>
      <c r="Z295" s="371">
        <f t="shared" si="28"/>
        <v>8.7416100000000004E-3</v>
      </c>
      <c r="AA295" s="371">
        <f t="shared" si="29"/>
        <v>0</v>
      </c>
      <c r="AB295" s="372" t="str">
        <f t="shared" si="30"/>
        <v>N</v>
      </c>
      <c r="AC295" s="337">
        <v>189</v>
      </c>
      <c r="AD295" s="334"/>
      <c r="AE295" s="334"/>
      <c r="AF295" s="334"/>
      <c r="AG295" s="334"/>
      <c r="AH295" s="333"/>
      <c r="AI295" s="334"/>
      <c r="AJ295" s="365"/>
      <c r="AK295" s="366">
        <f t="shared" si="31"/>
        <v>188.5</v>
      </c>
      <c r="AL295" s="367">
        <f t="shared" si="36"/>
        <v>519.68951598283115</v>
      </c>
      <c r="AM295" s="378"/>
      <c r="AN295" s="369"/>
      <c r="AO295" s="371">
        <f t="shared" si="32"/>
        <v>1.3451940000000001E-2</v>
      </c>
      <c r="AP295" s="371">
        <f t="shared" si="33"/>
        <v>0</v>
      </c>
      <c r="AQ295" s="372" t="str">
        <f t="shared" si="34"/>
        <v>N</v>
      </c>
      <c r="AR295" s="337">
        <v>189</v>
      </c>
      <c r="AS295" s="334"/>
      <c r="AT295" s="334"/>
      <c r="AU295" s="334"/>
      <c r="AV295" s="334"/>
      <c r="AW295" s="321"/>
    </row>
    <row r="296" spans="19:49">
      <c r="S296" s="321"/>
      <c r="T296" s="334"/>
      <c r="U296" s="365"/>
      <c r="V296" s="366">
        <f t="shared" si="27"/>
        <v>189.5</v>
      </c>
      <c r="W296" s="367">
        <f t="shared" si="35"/>
        <v>176.36614308864122</v>
      </c>
      <c r="X296" s="378"/>
      <c r="Y296" s="369"/>
      <c r="Z296" s="371">
        <f t="shared" si="28"/>
        <v>8.7416100000000004E-3</v>
      </c>
      <c r="AA296" s="371">
        <f t="shared" si="29"/>
        <v>0</v>
      </c>
      <c r="AB296" s="372" t="str">
        <f t="shared" si="30"/>
        <v>N</v>
      </c>
      <c r="AC296" s="337">
        <v>190</v>
      </c>
      <c r="AD296" s="334"/>
      <c r="AE296" s="334"/>
      <c r="AF296" s="334"/>
      <c r="AG296" s="334"/>
      <c r="AH296" s="333"/>
      <c r="AI296" s="334"/>
      <c r="AJ296" s="365"/>
      <c r="AK296" s="366">
        <f t="shared" si="31"/>
        <v>189.5</v>
      </c>
      <c r="AL296" s="367">
        <f t="shared" si="36"/>
        <v>512.69868015120642</v>
      </c>
      <c r="AM296" s="378"/>
      <c r="AN296" s="369"/>
      <c r="AO296" s="371">
        <f t="shared" si="32"/>
        <v>1.3451940000000001E-2</v>
      </c>
      <c r="AP296" s="371">
        <f t="shared" si="33"/>
        <v>0</v>
      </c>
      <c r="AQ296" s="372" t="str">
        <f t="shared" si="34"/>
        <v>N</v>
      </c>
      <c r="AR296" s="337">
        <v>190</v>
      </c>
      <c r="AS296" s="334"/>
      <c r="AT296" s="334"/>
      <c r="AU296" s="334"/>
      <c r="AV296" s="334"/>
      <c r="AW296" s="321"/>
    </row>
    <row r="297" spans="19:49">
      <c r="S297" s="321"/>
      <c r="T297" s="334"/>
      <c r="U297" s="365"/>
      <c r="V297" s="366">
        <f t="shared" si="27"/>
        <v>190.5</v>
      </c>
      <c r="W297" s="367">
        <f t="shared" si="35"/>
        <v>174.82441888017993</v>
      </c>
      <c r="X297" s="378"/>
      <c r="Y297" s="369"/>
      <c r="Z297" s="371">
        <f t="shared" si="28"/>
        <v>8.7416100000000004E-3</v>
      </c>
      <c r="AA297" s="371">
        <f t="shared" si="29"/>
        <v>0</v>
      </c>
      <c r="AB297" s="372" t="str">
        <f t="shared" si="30"/>
        <v>N</v>
      </c>
      <c r="AC297" s="337">
        <v>191</v>
      </c>
      <c r="AD297" s="334"/>
      <c r="AE297" s="334"/>
      <c r="AF297" s="334"/>
      <c r="AG297" s="334"/>
      <c r="AH297" s="333"/>
      <c r="AI297" s="334"/>
      <c r="AJ297" s="365"/>
      <c r="AK297" s="366">
        <f t="shared" si="31"/>
        <v>190.5</v>
      </c>
      <c r="AL297" s="367">
        <f t="shared" si="36"/>
        <v>505.80188467275724</v>
      </c>
      <c r="AM297" s="378"/>
      <c r="AN297" s="369"/>
      <c r="AO297" s="371">
        <f t="shared" si="32"/>
        <v>1.3451940000000001E-2</v>
      </c>
      <c r="AP297" s="371">
        <f t="shared" si="33"/>
        <v>0</v>
      </c>
      <c r="AQ297" s="372" t="str">
        <f t="shared" si="34"/>
        <v>N</v>
      </c>
      <c r="AR297" s="337">
        <v>191</v>
      </c>
      <c r="AS297" s="334"/>
      <c r="AT297" s="334"/>
      <c r="AU297" s="334"/>
      <c r="AV297" s="334"/>
      <c r="AW297" s="321"/>
    </row>
    <row r="298" spans="19:49" ht="15.05" thickBot="1">
      <c r="S298" s="321"/>
      <c r="T298" s="334"/>
      <c r="U298" s="373">
        <f>1+U286</f>
        <v>16</v>
      </c>
      <c r="V298" s="374">
        <f t="shared" si="27"/>
        <v>191.5</v>
      </c>
      <c r="W298" s="367">
        <f t="shared" si="35"/>
        <v>173.29617182494846</v>
      </c>
      <c r="X298" s="375">
        <f>SUM(W287:W298)</f>
        <v>2183.4430111994857</v>
      </c>
      <c r="Y298" s="376">
        <f>-(X298/X286-1)</f>
        <v>9.9999999999999978E-2</v>
      </c>
      <c r="Z298" s="371">
        <f t="shared" si="28"/>
        <v>8.7416100000000004E-3</v>
      </c>
      <c r="AA298" s="371">
        <f t="shared" si="29"/>
        <v>0</v>
      </c>
      <c r="AB298" s="372" t="str">
        <f t="shared" si="30"/>
        <v>N</v>
      </c>
      <c r="AC298" s="337">
        <v>192</v>
      </c>
      <c r="AD298" s="334"/>
      <c r="AE298" s="334"/>
      <c r="AF298" s="334"/>
      <c r="AG298" s="334"/>
      <c r="AH298" s="333"/>
      <c r="AI298" s="334"/>
      <c r="AJ298" s="373">
        <f>1+AJ286</f>
        <v>16</v>
      </c>
      <c r="AK298" s="374">
        <f t="shared" si="31"/>
        <v>191.5</v>
      </c>
      <c r="AL298" s="367">
        <f t="shared" si="36"/>
        <v>498.99786452163579</v>
      </c>
      <c r="AM298" s="375">
        <f>SUM(AL287:AL298)</f>
        <v>6458.0903452078428</v>
      </c>
      <c r="AN298" s="376">
        <f>-(AM298/AM286-1)</f>
        <v>0.15000000000000013</v>
      </c>
      <c r="AO298" s="371">
        <f t="shared" si="32"/>
        <v>1.3451940000000001E-2</v>
      </c>
      <c r="AP298" s="371">
        <f t="shared" si="33"/>
        <v>0</v>
      </c>
      <c r="AQ298" s="372" t="str">
        <f t="shared" si="34"/>
        <v>N</v>
      </c>
      <c r="AR298" s="337">
        <v>192</v>
      </c>
      <c r="AS298" s="334"/>
      <c r="AT298" s="334"/>
      <c r="AU298" s="334"/>
      <c r="AV298" s="334"/>
      <c r="AW298" s="321"/>
    </row>
    <row r="299" spans="19:49">
      <c r="S299" s="321"/>
      <c r="T299" s="334"/>
      <c r="U299" s="365"/>
      <c r="V299" s="366">
        <f t="shared" si="27"/>
        <v>192.5</v>
      </c>
      <c r="W299" s="377">
        <f t="shared" si="35"/>
        <v>171.78128411091652</v>
      </c>
      <c r="X299" s="378"/>
      <c r="Y299" s="369"/>
      <c r="Z299" s="371">
        <f t="shared" si="28"/>
        <v>8.7416100000000004E-3</v>
      </c>
      <c r="AA299" s="371">
        <f t="shared" si="29"/>
        <v>0</v>
      </c>
      <c r="AB299" s="372" t="str">
        <f t="shared" si="30"/>
        <v>N</v>
      </c>
      <c r="AC299" s="337">
        <v>193</v>
      </c>
      <c r="AD299" s="334"/>
      <c r="AE299" s="334"/>
      <c r="AF299" s="334"/>
      <c r="AG299" s="334"/>
      <c r="AH299" s="333"/>
      <c r="AI299" s="334"/>
      <c r="AJ299" s="365"/>
      <c r="AK299" s="366">
        <f t="shared" si="31"/>
        <v>192.5</v>
      </c>
      <c r="AL299" s="377">
        <f t="shared" si="36"/>
        <v>492.28537168905513</v>
      </c>
      <c r="AM299" s="378"/>
      <c r="AN299" s="369"/>
      <c r="AO299" s="371">
        <f t="shared" si="32"/>
        <v>1.3451940000000001E-2</v>
      </c>
      <c r="AP299" s="371">
        <f t="shared" si="33"/>
        <v>0</v>
      </c>
      <c r="AQ299" s="372" t="str">
        <f t="shared" si="34"/>
        <v>N</v>
      </c>
      <c r="AR299" s="337">
        <v>193</v>
      </c>
      <c r="AS299" s="334"/>
      <c r="AT299" s="334"/>
      <c r="AU299" s="334"/>
      <c r="AV299" s="334"/>
      <c r="AW299" s="321"/>
    </row>
    <row r="300" spans="19:49">
      <c r="S300" s="321"/>
      <c r="T300" s="334"/>
      <c r="U300" s="365"/>
      <c r="V300" s="366">
        <f t="shared" ref="V300:V363" si="37">1+V299</f>
        <v>193.5</v>
      </c>
      <c r="W300" s="367">
        <f t="shared" si="35"/>
        <v>170.27963895592063</v>
      </c>
      <c r="X300" s="378"/>
      <c r="Y300" s="369"/>
      <c r="Z300" s="371">
        <f t="shared" ref="Z300:Z363" si="38">TRUNC(1-(W300/W299),8)</f>
        <v>8.7416100000000004E-3</v>
      </c>
      <c r="AA300" s="371">
        <f t="shared" ref="AA300:AA363" si="39">TRUNC(Z300-(1-(1-(W$69/100))^(1/12)),8)</f>
        <v>0</v>
      </c>
      <c r="AB300" s="372" t="str">
        <f t="shared" ref="AB300:AB363" si="40">IF(AA300&lt;0,"Y","N")</f>
        <v>N</v>
      </c>
      <c r="AC300" s="337">
        <v>194</v>
      </c>
      <c r="AD300" s="334"/>
      <c r="AE300" s="334"/>
      <c r="AF300" s="334"/>
      <c r="AG300" s="334"/>
      <c r="AH300" s="333"/>
      <c r="AI300" s="334"/>
      <c r="AJ300" s="365"/>
      <c r="AK300" s="366">
        <f t="shared" ref="AK300:AK363" si="41">1+AK299</f>
        <v>193.5</v>
      </c>
      <c r="AL300" s="367">
        <f t="shared" si="36"/>
        <v>485.66317495437573</v>
      </c>
      <c r="AM300" s="378"/>
      <c r="AN300" s="369"/>
      <c r="AO300" s="371">
        <f t="shared" ref="AO300:AO363" si="42">TRUNC(1-(AL300/AL299),8)</f>
        <v>1.3451940000000001E-2</v>
      </c>
      <c r="AP300" s="371">
        <f t="shared" ref="AP300:AP363" si="43">TRUNC(AO300-(1-(1-(AL$69/100))^(1/12)),8)</f>
        <v>0</v>
      </c>
      <c r="AQ300" s="372" t="str">
        <f t="shared" ref="AQ300:AQ363" si="44">IF(AP300&lt;0,"Y","N")</f>
        <v>N</v>
      </c>
      <c r="AR300" s="337">
        <v>194</v>
      </c>
      <c r="AS300" s="334"/>
      <c r="AT300" s="334"/>
      <c r="AU300" s="334"/>
      <c r="AV300" s="334"/>
      <c r="AW300" s="321"/>
    </row>
    <row r="301" spans="19:49">
      <c r="S301" s="321"/>
      <c r="T301" s="334"/>
      <c r="U301" s="365"/>
      <c r="V301" s="366">
        <f t="shared" si="37"/>
        <v>194.5</v>
      </c>
      <c r="W301" s="367">
        <f t="shared" ref="W301:W364" si="45">IF(AA300&lt;=0,AF$66*(1-(dt/100))^((V301-AF$67)/12),AE$65/((1+(V301/12)*((1-W$67/100)^(-W$68)-1)))^(1/W$68))</f>
        <v>168.79112059866176</v>
      </c>
      <c r="X301" s="378"/>
      <c r="Y301" s="369"/>
      <c r="Z301" s="371">
        <f t="shared" si="38"/>
        <v>8.7416100000000004E-3</v>
      </c>
      <c r="AA301" s="371">
        <f t="shared" si="39"/>
        <v>0</v>
      </c>
      <c r="AB301" s="372" t="str">
        <f t="shared" si="40"/>
        <v>N</v>
      </c>
      <c r="AC301" s="337">
        <v>195</v>
      </c>
      <c r="AD301" s="334"/>
      <c r="AE301" s="334"/>
      <c r="AF301" s="334"/>
      <c r="AG301" s="334"/>
      <c r="AH301" s="333"/>
      <c r="AI301" s="334"/>
      <c r="AJ301" s="365"/>
      <c r="AK301" s="366">
        <f t="shared" si="41"/>
        <v>194.5</v>
      </c>
      <c r="AL301" s="367">
        <f t="shared" ref="AL301:AL364" si="46">IF(AP300&lt;=0,AU$66*(1-(AL$69/100))^((AK301-AU$67)/12),AT$65/((1+(AK301/12)*((1-AL$67/100)^(-AL$68)-1)))^(1/AL$68))</f>
        <v>479.1300596592734</v>
      </c>
      <c r="AM301" s="378"/>
      <c r="AN301" s="369"/>
      <c r="AO301" s="371">
        <f t="shared" si="42"/>
        <v>1.3451940000000001E-2</v>
      </c>
      <c r="AP301" s="371">
        <f t="shared" si="43"/>
        <v>0</v>
      </c>
      <c r="AQ301" s="372" t="str">
        <f t="shared" si="44"/>
        <v>N</v>
      </c>
      <c r="AR301" s="337">
        <v>195</v>
      </c>
      <c r="AS301" s="334"/>
      <c r="AT301" s="334"/>
      <c r="AU301" s="334"/>
      <c r="AV301" s="334"/>
      <c r="AW301" s="321"/>
    </row>
    <row r="302" spans="19:49">
      <c r="S302" s="321"/>
      <c r="T302" s="334"/>
      <c r="U302" s="365"/>
      <c r="V302" s="366">
        <f t="shared" si="37"/>
        <v>195.5</v>
      </c>
      <c r="W302" s="367">
        <f t="shared" si="45"/>
        <v>167.31561428978097</v>
      </c>
      <c r="X302" s="378"/>
      <c r="Y302" s="369"/>
      <c r="Z302" s="371">
        <f t="shared" si="38"/>
        <v>8.7416100000000004E-3</v>
      </c>
      <c r="AA302" s="371">
        <f t="shared" si="39"/>
        <v>0</v>
      </c>
      <c r="AB302" s="372" t="str">
        <f t="shared" si="40"/>
        <v>N</v>
      </c>
      <c r="AC302" s="337">
        <v>196</v>
      </c>
      <c r="AD302" s="334"/>
      <c r="AE302" s="334"/>
      <c r="AF302" s="334"/>
      <c r="AG302" s="334"/>
      <c r="AH302" s="333"/>
      <c r="AI302" s="334"/>
      <c r="AJ302" s="365"/>
      <c r="AK302" s="366">
        <f t="shared" si="41"/>
        <v>195.5</v>
      </c>
      <c r="AL302" s="367">
        <f t="shared" si="46"/>
        <v>472.68482748494336</v>
      </c>
      <c r="AM302" s="378"/>
      <c r="AN302" s="369"/>
      <c r="AO302" s="371">
        <f t="shared" si="42"/>
        <v>1.3451940000000001E-2</v>
      </c>
      <c r="AP302" s="371">
        <f t="shared" si="43"/>
        <v>0</v>
      </c>
      <c r="AQ302" s="372" t="str">
        <f t="shared" si="44"/>
        <v>N</v>
      </c>
      <c r="AR302" s="337">
        <v>196</v>
      </c>
      <c r="AS302" s="334"/>
      <c r="AT302" s="334"/>
      <c r="AU302" s="334"/>
      <c r="AV302" s="334"/>
      <c r="AW302" s="321"/>
    </row>
    <row r="303" spans="19:49">
      <c r="S303" s="321"/>
      <c r="T303" s="334"/>
      <c r="U303" s="365"/>
      <c r="V303" s="366">
        <f t="shared" si="37"/>
        <v>196.5</v>
      </c>
      <c r="W303" s="367">
        <f t="shared" si="45"/>
        <v>165.85300628301363</v>
      </c>
      <c r="X303" s="378"/>
      <c r="Y303" s="369"/>
      <c r="Z303" s="371">
        <f t="shared" si="38"/>
        <v>8.7416100000000004E-3</v>
      </c>
      <c r="AA303" s="371">
        <f t="shared" si="39"/>
        <v>0</v>
      </c>
      <c r="AB303" s="372" t="str">
        <f t="shared" si="40"/>
        <v>N</v>
      </c>
      <c r="AC303" s="337">
        <v>197</v>
      </c>
      <c r="AD303" s="334"/>
      <c r="AE303" s="334"/>
      <c r="AF303" s="334"/>
      <c r="AG303" s="334"/>
      <c r="AH303" s="333"/>
      <c r="AI303" s="334"/>
      <c r="AJ303" s="365"/>
      <c r="AK303" s="366">
        <f t="shared" si="41"/>
        <v>196.5</v>
      </c>
      <c r="AL303" s="367">
        <f t="shared" si="46"/>
        <v>466.32629623230144</v>
      </c>
      <c r="AM303" s="378"/>
      <c r="AN303" s="369"/>
      <c r="AO303" s="371">
        <f t="shared" si="42"/>
        <v>1.3451940000000001E-2</v>
      </c>
      <c r="AP303" s="371">
        <f t="shared" si="43"/>
        <v>0</v>
      </c>
      <c r="AQ303" s="372" t="str">
        <f t="shared" si="44"/>
        <v>N</v>
      </c>
      <c r="AR303" s="337">
        <v>197</v>
      </c>
      <c r="AS303" s="334"/>
      <c r="AT303" s="334"/>
      <c r="AU303" s="334"/>
      <c r="AV303" s="334"/>
      <c r="AW303" s="321"/>
    </row>
    <row r="304" spans="19:49">
      <c r="S304" s="321"/>
      <c r="T304" s="334"/>
      <c r="U304" s="365"/>
      <c r="V304" s="366">
        <f t="shared" si="37"/>
        <v>197.5</v>
      </c>
      <c r="W304" s="367">
        <f t="shared" si="45"/>
        <v>164.40318382642062</v>
      </c>
      <c r="X304" s="378"/>
      <c r="Y304" s="369"/>
      <c r="Z304" s="371">
        <f t="shared" si="38"/>
        <v>8.7416100000000004E-3</v>
      </c>
      <c r="AA304" s="371">
        <f t="shared" si="39"/>
        <v>0</v>
      </c>
      <c r="AB304" s="372" t="str">
        <f t="shared" si="40"/>
        <v>N</v>
      </c>
      <c r="AC304" s="337">
        <v>198</v>
      </c>
      <c r="AD304" s="334"/>
      <c r="AE304" s="334"/>
      <c r="AF304" s="334"/>
      <c r="AG304" s="334"/>
      <c r="AH304" s="333"/>
      <c r="AI304" s="334"/>
      <c r="AJ304" s="365"/>
      <c r="AK304" s="366">
        <f t="shared" si="41"/>
        <v>197.5</v>
      </c>
      <c r="AL304" s="367">
        <f t="shared" si="46"/>
        <v>460.05329960514342</v>
      </c>
      <c r="AM304" s="378"/>
      <c r="AN304" s="369"/>
      <c r="AO304" s="371">
        <f t="shared" si="42"/>
        <v>1.3451940000000001E-2</v>
      </c>
      <c r="AP304" s="371">
        <f t="shared" si="43"/>
        <v>0</v>
      </c>
      <c r="AQ304" s="372" t="str">
        <f t="shared" si="44"/>
        <v>N</v>
      </c>
      <c r="AR304" s="337">
        <v>198</v>
      </c>
      <c r="AS304" s="334"/>
      <c r="AT304" s="334"/>
      <c r="AU304" s="334"/>
      <c r="AV304" s="334"/>
      <c r="AW304" s="321"/>
    </row>
    <row r="305" spans="19:49">
      <c r="S305" s="321"/>
      <c r="T305" s="334"/>
      <c r="U305" s="365"/>
      <c r="V305" s="366">
        <f t="shared" si="37"/>
        <v>198.5</v>
      </c>
      <c r="W305" s="367">
        <f t="shared" si="45"/>
        <v>162.96603515369659</v>
      </c>
      <c r="X305" s="378"/>
      <c r="Y305" s="369"/>
      <c r="Z305" s="371">
        <f t="shared" si="38"/>
        <v>8.7416100000000004E-3</v>
      </c>
      <c r="AA305" s="371">
        <f t="shared" si="39"/>
        <v>0</v>
      </c>
      <c r="AB305" s="372" t="str">
        <f t="shared" si="40"/>
        <v>N</v>
      </c>
      <c r="AC305" s="337">
        <v>199</v>
      </c>
      <c r="AD305" s="334"/>
      <c r="AE305" s="334"/>
      <c r="AF305" s="334"/>
      <c r="AG305" s="334"/>
      <c r="AH305" s="333"/>
      <c r="AI305" s="334"/>
      <c r="AJ305" s="365"/>
      <c r="AK305" s="366">
        <f t="shared" si="41"/>
        <v>198.5</v>
      </c>
      <c r="AL305" s="367">
        <f t="shared" si="46"/>
        <v>453.86468699621975</v>
      </c>
      <c r="AM305" s="378"/>
      <c r="AN305" s="369"/>
      <c r="AO305" s="371">
        <f t="shared" si="42"/>
        <v>1.3451940000000001E-2</v>
      </c>
      <c r="AP305" s="371">
        <f t="shared" si="43"/>
        <v>0</v>
      </c>
      <c r="AQ305" s="372" t="str">
        <f t="shared" si="44"/>
        <v>N</v>
      </c>
      <c r="AR305" s="337">
        <v>199</v>
      </c>
      <c r="AS305" s="334"/>
      <c r="AT305" s="334"/>
      <c r="AU305" s="334"/>
      <c r="AV305" s="334"/>
      <c r="AW305" s="321"/>
    </row>
    <row r="306" spans="19:49">
      <c r="S306" s="321"/>
      <c r="T306" s="334"/>
      <c r="U306" s="365"/>
      <c r="V306" s="366">
        <f t="shared" si="37"/>
        <v>199.5</v>
      </c>
      <c r="W306" s="367">
        <f t="shared" si="45"/>
        <v>161.54144947555352</v>
      </c>
      <c r="X306" s="378"/>
      <c r="Y306" s="369"/>
      <c r="Z306" s="371">
        <f t="shared" si="38"/>
        <v>8.7416100000000004E-3</v>
      </c>
      <c r="AA306" s="371">
        <f t="shared" si="39"/>
        <v>0</v>
      </c>
      <c r="AB306" s="372" t="str">
        <f t="shared" si="40"/>
        <v>N</v>
      </c>
      <c r="AC306" s="337">
        <v>200</v>
      </c>
      <c r="AD306" s="334"/>
      <c r="AE306" s="334"/>
      <c r="AF306" s="334"/>
      <c r="AG306" s="334"/>
      <c r="AH306" s="333"/>
      <c r="AI306" s="334"/>
      <c r="AJ306" s="365"/>
      <c r="AK306" s="366">
        <f t="shared" si="41"/>
        <v>199.5</v>
      </c>
      <c r="AL306" s="367">
        <f t="shared" si="46"/>
        <v>447.75932327618807</v>
      </c>
      <c r="AM306" s="378"/>
      <c r="AN306" s="369"/>
      <c r="AO306" s="371">
        <f t="shared" si="42"/>
        <v>1.3451940000000001E-2</v>
      </c>
      <c r="AP306" s="371">
        <f t="shared" si="43"/>
        <v>0</v>
      </c>
      <c r="AQ306" s="372" t="str">
        <f t="shared" si="44"/>
        <v>N</v>
      </c>
      <c r="AR306" s="337">
        <v>200</v>
      </c>
      <c r="AS306" s="334"/>
      <c r="AT306" s="334"/>
      <c r="AU306" s="334"/>
      <c r="AV306" s="334"/>
      <c r="AW306" s="321"/>
    </row>
    <row r="307" spans="19:49">
      <c r="S307" s="321"/>
      <c r="T307" s="334"/>
      <c r="U307" s="365"/>
      <c r="V307" s="366">
        <f t="shared" si="37"/>
        <v>200.5</v>
      </c>
      <c r="W307" s="367">
        <f t="shared" si="45"/>
        <v>160.12931697118043</v>
      </c>
      <c r="X307" s="378"/>
      <c r="Y307" s="369"/>
      <c r="Z307" s="371">
        <f t="shared" si="38"/>
        <v>8.7416100000000004E-3</v>
      </c>
      <c r="AA307" s="371">
        <f t="shared" si="39"/>
        <v>0</v>
      </c>
      <c r="AB307" s="372" t="str">
        <f t="shared" si="40"/>
        <v>N</v>
      </c>
      <c r="AC307" s="337">
        <v>201</v>
      </c>
      <c r="AD307" s="334"/>
      <c r="AE307" s="334"/>
      <c r="AF307" s="334"/>
      <c r="AG307" s="334"/>
      <c r="AH307" s="333"/>
      <c r="AI307" s="334"/>
      <c r="AJ307" s="365"/>
      <c r="AK307" s="366">
        <f t="shared" si="41"/>
        <v>200.5</v>
      </c>
      <c r="AL307" s="367">
        <f t="shared" si="46"/>
        <v>441.73608858540643</v>
      </c>
      <c r="AM307" s="378"/>
      <c r="AN307" s="369"/>
      <c r="AO307" s="371">
        <f t="shared" si="42"/>
        <v>1.3451940000000001E-2</v>
      </c>
      <c r="AP307" s="371">
        <f t="shared" si="43"/>
        <v>0</v>
      </c>
      <c r="AQ307" s="372" t="str">
        <f t="shared" si="44"/>
        <v>N</v>
      </c>
      <c r="AR307" s="337">
        <v>201</v>
      </c>
      <c r="AS307" s="334"/>
      <c r="AT307" s="334"/>
      <c r="AU307" s="334"/>
      <c r="AV307" s="334"/>
      <c r="AW307" s="321"/>
    </row>
    <row r="308" spans="19:49">
      <c r="S308" s="321"/>
      <c r="T308" s="334"/>
      <c r="U308" s="365"/>
      <c r="V308" s="366">
        <f t="shared" si="37"/>
        <v>201.5</v>
      </c>
      <c r="W308" s="367">
        <f t="shared" si="45"/>
        <v>158.72952877977707</v>
      </c>
      <c r="X308" s="378"/>
      <c r="Y308" s="369"/>
      <c r="Z308" s="371">
        <f t="shared" si="38"/>
        <v>8.7416100000000004E-3</v>
      </c>
      <c r="AA308" s="371">
        <f t="shared" si="39"/>
        <v>0</v>
      </c>
      <c r="AB308" s="372" t="str">
        <f t="shared" si="40"/>
        <v>N</v>
      </c>
      <c r="AC308" s="337">
        <v>202</v>
      </c>
      <c r="AD308" s="334"/>
      <c r="AE308" s="334"/>
      <c r="AF308" s="334"/>
      <c r="AG308" s="334"/>
      <c r="AH308" s="333"/>
      <c r="AI308" s="334"/>
      <c r="AJ308" s="365"/>
      <c r="AK308" s="366">
        <f t="shared" si="41"/>
        <v>201.5</v>
      </c>
      <c r="AL308" s="367">
        <f t="shared" si="46"/>
        <v>435.79387812852548</v>
      </c>
      <c r="AM308" s="378"/>
      <c r="AN308" s="369"/>
      <c r="AO308" s="371">
        <f t="shared" si="42"/>
        <v>1.3451940000000001E-2</v>
      </c>
      <c r="AP308" s="371">
        <f t="shared" si="43"/>
        <v>0</v>
      </c>
      <c r="AQ308" s="372" t="str">
        <f t="shared" si="44"/>
        <v>N</v>
      </c>
      <c r="AR308" s="337">
        <v>202</v>
      </c>
      <c r="AS308" s="334"/>
      <c r="AT308" s="334"/>
      <c r="AU308" s="334"/>
      <c r="AV308" s="334"/>
      <c r="AW308" s="321"/>
    </row>
    <row r="309" spans="19:49">
      <c r="S309" s="321"/>
      <c r="T309" s="334"/>
      <c r="U309" s="365"/>
      <c r="V309" s="366">
        <f t="shared" si="37"/>
        <v>202.5</v>
      </c>
      <c r="W309" s="367">
        <f t="shared" si="45"/>
        <v>157.34197699216196</v>
      </c>
      <c r="X309" s="378"/>
      <c r="Y309" s="369"/>
      <c r="Z309" s="371">
        <f t="shared" si="38"/>
        <v>8.7416100000000004E-3</v>
      </c>
      <c r="AA309" s="371">
        <f t="shared" si="39"/>
        <v>0</v>
      </c>
      <c r="AB309" s="372" t="str">
        <f t="shared" si="40"/>
        <v>N</v>
      </c>
      <c r="AC309" s="337">
        <v>203</v>
      </c>
      <c r="AD309" s="334"/>
      <c r="AE309" s="334"/>
      <c r="AF309" s="334"/>
      <c r="AG309" s="334"/>
      <c r="AH309" s="333"/>
      <c r="AI309" s="334"/>
      <c r="AJ309" s="365"/>
      <c r="AK309" s="366">
        <f t="shared" si="41"/>
        <v>202.5</v>
      </c>
      <c r="AL309" s="367">
        <f t="shared" si="46"/>
        <v>429.93160197184363</v>
      </c>
      <c r="AM309" s="378"/>
      <c r="AN309" s="369"/>
      <c r="AO309" s="371">
        <f t="shared" si="42"/>
        <v>1.3451940000000001E-2</v>
      </c>
      <c r="AP309" s="371">
        <f t="shared" si="43"/>
        <v>0</v>
      </c>
      <c r="AQ309" s="372" t="str">
        <f t="shared" si="44"/>
        <v>N</v>
      </c>
      <c r="AR309" s="337">
        <v>203</v>
      </c>
      <c r="AS309" s="334"/>
      <c r="AT309" s="334"/>
      <c r="AU309" s="334"/>
      <c r="AV309" s="334"/>
      <c r="AW309" s="321"/>
    </row>
    <row r="310" spans="19:49" ht="15.05" thickBot="1">
      <c r="S310" s="321"/>
      <c r="T310" s="334"/>
      <c r="U310" s="373">
        <f>1+U298</f>
        <v>17</v>
      </c>
      <c r="V310" s="374">
        <f t="shared" si="37"/>
        <v>203.5</v>
      </c>
      <c r="W310" s="367">
        <f t="shared" si="45"/>
        <v>155.96655464245362</v>
      </c>
      <c r="X310" s="375">
        <f>SUM(W299:W310)</f>
        <v>1965.0987100795373</v>
      </c>
      <c r="Y310" s="376">
        <f>-(X310/X298-1)</f>
        <v>9.9999999999999867E-2</v>
      </c>
      <c r="Z310" s="371">
        <f t="shared" si="38"/>
        <v>8.7416100000000004E-3</v>
      </c>
      <c r="AA310" s="371">
        <f t="shared" si="39"/>
        <v>0</v>
      </c>
      <c r="AB310" s="372" t="str">
        <f t="shared" si="40"/>
        <v>N</v>
      </c>
      <c r="AC310" s="337">
        <v>204</v>
      </c>
      <c r="AD310" s="334"/>
      <c r="AE310" s="334"/>
      <c r="AF310" s="334"/>
      <c r="AG310" s="334"/>
      <c r="AH310" s="333"/>
      <c r="AI310" s="334"/>
      <c r="AJ310" s="373">
        <f>1+AJ298</f>
        <v>17</v>
      </c>
      <c r="AK310" s="374">
        <f t="shared" si="41"/>
        <v>203.5</v>
      </c>
      <c r="AL310" s="367">
        <f t="shared" si="46"/>
        <v>424.14818484339048</v>
      </c>
      <c r="AM310" s="375">
        <f>SUM(AL299:AL310)</f>
        <v>5489.3767934266671</v>
      </c>
      <c r="AN310" s="376">
        <f>-(AM310/AM298-1)</f>
        <v>0.14999999999999991</v>
      </c>
      <c r="AO310" s="371">
        <f t="shared" si="42"/>
        <v>1.3451940000000001E-2</v>
      </c>
      <c r="AP310" s="371">
        <f t="shared" si="43"/>
        <v>0</v>
      </c>
      <c r="AQ310" s="372" t="str">
        <f t="shared" si="44"/>
        <v>N</v>
      </c>
      <c r="AR310" s="337">
        <v>204</v>
      </c>
      <c r="AS310" s="334"/>
      <c r="AT310" s="334"/>
      <c r="AU310" s="334"/>
      <c r="AV310" s="334"/>
      <c r="AW310" s="321"/>
    </row>
    <row r="311" spans="19:49">
      <c r="S311" s="321"/>
      <c r="T311" s="334"/>
      <c r="U311" s="365"/>
      <c r="V311" s="366">
        <f t="shared" si="37"/>
        <v>204.5</v>
      </c>
      <c r="W311" s="377">
        <f t="shared" si="45"/>
        <v>154.60315569982487</v>
      </c>
      <c r="X311" s="378"/>
      <c r="Y311" s="369"/>
      <c r="Z311" s="371">
        <f t="shared" si="38"/>
        <v>8.7416100000000004E-3</v>
      </c>
      <c r="AA311" s="371">
        <f t="shared" si="39"/>
        <v>0</v>
      </c>
      <c r="AB311" s="372" t="str">
        <f t="shared" si="40"/>
        <v>N</v>
      </c>
      <c r="AC311" s="337">
        <v>205</v>
      </c>
      <c r="AD311" s="334"/>
      <c r="AE311" s="334"/>
      <c r="AF311" s="334"/>
      <c r="AG311" s="334"/>
      <c r="AH311" s="333"/>
      <c r="AI311" s="334"/>
      <c r="AJ311" s="365"/>
      <c r="AK311" s="366">
        <f t="shared" si="41"/>
        <v>204.5</v>
      </c>
      <c r="AL311" s="377">
        <f t="shared" si="46"/>
        <v>418.44256593569685</v>
      </c>
      <c r="AM311" s="378"/>
      <c r="AN311" s="369"/>
      <c r="AO311" s="371">
        <f t="shared" si="42"/>
        <v>1.3451940000000001E-2</v>
      </c>
      <c r="AP311" s="371">
        <f t="shared" si="43"/>
        <v>0</v>
      </c>
      <c r="AQ311" s="372" t="str">
        <f t="shared" si="44"/>
        <v>N</v>
      </c>
      <c r="AR311" s="337">
        <v>205</v>
      </c>
      <c r="AS311" s="334"/>
      <c r="AT311" s="334"/>
      <c r="AU311" s="334"/>
      <c r="AV311" s="334"/>
      <c r="AW311" s="321"/>
    </row>
    <row r="312" spans="19:49">
      <c r="S312" s="321"/>
      <c r="T312" s="334"/>
      <c r="U312" s="365"/>
      <c r="V312" s="366">
        <f t="shared" si="37"/>
        <v>205.5</v>
      </c>
      <c r="W312" s="367">
        <f t="shared" si="45"/>
        <v>153.25167506032858</v>
      </c>
      <c r="X312" s="378"/>
      <c r="Y312" s="369"/>
      <c r="Z312" s="371">
        <f t="shared" si="38"/>
        <v>8.7416100000000004E-3</v>
      </c>
      <c r="AA312" s="371">
        <f t="shared" si="39"/>
        <v>0</v>
      </c>
      <c r="AB312" s="372" t="str">
        <f t="shared" si="40"/>
        <v>N</v>
      </c>
      <c r="AC312" s="337">
        <v>206</v>
      </c>
      <c r="AD312" s="334"/>
      <c r="AE312" s="334"/>
      <c r="AF312" s="334"/>
      <c r="AG312" s="334"/>
      <c r="AH312" s="333"/>
      <c r="AI312" s="334"/>
      <c r="AJ312" s="365"/>
      <c r="AK312" s="366">
        <f t="shared" si="41"/>
        <v>205.5</v>
      </c>
      <c r="AL312" s="367">
        <f t="shared" si="46"/>
        <v>412.81369871121933</v>
      </c>
      <c r="AM312" s="378"/>
      <c r="AN312" s="369"/>
      <c r="AO312" s="371">
        <f t="shared" si="42"/>
        <v>1.3451940000000001E-2</v>
      </c>
      <c r="AP312" s="371">
        <f t="shared" si="43"/>
        <v>0</v>
      </c>
      <c r="AQ312" s="372" t="str">
        <f t="shared" si="44"/>
        <v>N</v>
      </c>
      <c r="AR312" s="337">
        <v>206</v>
      </c>
      <c r="AS312" s="334"/>
      <c r="AT312" s="334"/>
      <c r="AU312" s="334"/>
      <c r="AV312" s="334"/>
      <c r="AW312" s="321"/>
    </row>
    <row r="313" spans="19:49">
      <c r="S313" s="321"/>
      <c r="T313" s="334"/>
      <c r="U313" s="365"/>
      <c r="V313" s="366">
        <f t="shared" si="37"/>
        <v>206.5</v>
      </c>
      <c r="W313" s="367">
        <f t="shared" si="45"/>
        <v>151.91200853879559</v>
      </c>
      <c r="X313" s="378"/>
      <c r="Y313" s="369"/>
      <c r="Z313" s="371">
        <f t="shared" si="38"/>
        <v>8.7416100000000004E-3</v>
      </c>
      <c r="AA313" s="371">
        <f t="shared" si="39"/>
        <v>0</v>
      </c>
      <c r="AB313" s="372" t="str">
        <f t="shared" si="40"/>
        <v>N</v>
      </c>
      <c r="AC313" s="337">
        <v>207</v>
      </c>
      <c r="AD313" s="334"/>
      <c r="AE313" s="334"/>
      <c r="AF313" s="334"/>
      <c r="AG313" s="334"/>
      <c r="AH313" s="333"/>
      <c r="AI313" s="334"/>
      <c r="AJ313" s="365"/>
      <c r="AK313" s="366">
        <f t="shared" si="41"/>
        <v>206.5</v>
      </c>
      <c r="AL313" s="367">
        <f t="shared" si="46"/>
        <v>407.26055071038235</v>
      </c>
      <c r="AM313" s="378"/>
      <c r="AN313" s="369"/>
      <c r="AO313" s="371">
        <f t="shared" si="42"/>
        <v>1.3451940000000001E-2</v>
      </c>
      <c r="AP313" s="371">
        <f t="shared" si="43"/>
        <v>0</v>
      </c>
      <c r="AQ313" s="372" t="str">
        <f t="shared" si="44"/>
        <v>N</v>
      </c>
      <c r="AR313" s="337">
        <v>207</v>
      </c>
      <c r="AS313" s="334"/>
      <c r="AT313" s="334"/>
      <c r="AU313" s="334"/>
      <c r="AV313" s="334"/>
      <c r="AW313" s="321"/>
    </row>
    <row r="314" spans="19:49">
      <c r="S314" s="321"/>
      <c r="T314" s="334"/>
      <c r="U314" s="365"/>
      <c r="V314" s="366">
        <f t="shared" si="37"/>
        <v>207.5</v>
      </c>
      <c r="W314" s="367">
        <f t="shared" si="45"/>
        <v>150.58405286080287</v>
      </c>
      <c r="X314" s="378"/>
      <c r="Y314" s="369"/>
      <c r="Z314" s="371">
        <f t="shared" si="38"/>
        <v>8.7416100000000004E-3</v>
      </c>
      <c r="AA314" s="371">
        <f t="shared" si="39"/>
        <v>0</v>
      </c>
      <c r="AB314" s="372" t="str">
        <f t="shared" si="40"/>
        <v>N</v>
      </c>
      <c r="AC314" s="337">
        <v>208</v>
      </c>
      <c r="AD314" s="334"/>
      <c r="AE314" s="334"/>
      <c r="AF314" s="334"/>
      <c r="AG314" s="334"/>
      <c r="AH314" s="333"/>
      <c r="AI314" s="334"/>
      <c r="AJ314" s="365"/>
      <c r="AK314" s="366">
        <f t="shared" si="41"/>
        <v>207.5</v>
      </c>
      <c r="AL314" s="367">
        <f t="shared" si="46"/>
        <v>401.78210336220189</v>
      </c>
      <c r="AM314" s="378"/>
      <c r="AN314" s="369"/>
      <c r="AO314" s="371">
        <f t="shared" si="42"/>
        <v>1.3451940000000001E-2</v>
      </c>
      <c r="AP314" s="371">
        <f t="shared" si="43"/>
        <v>0</v>
      </c>
      <c r="AQ314" s="372" t="str">
        <f t="shared" si="44"/>
        <v>N</v>
      </c>
      <c r="AR314" s="337">
        <v>208</v>
      </c>
      <c r="AS314" s="334"/>
      <c r="AT314" s="334"/>
      <c r="AU314" s="334"/>
      <c r="AV314" s="334"/>
      <c r="AW314" s="321"/>
    </row>
    <row r="315" spans="19:49">
      <c r="S315" s="321"/>
      <c r="T315" s="334"/>
      <c r="U315" s="365"/>
      <c r="V315" s="366">
        <f t="shared" si="37"/>
        <v>208.5</v>
      </c>
      <c r="W315" s="367">
        <f t="shared" si="45"/>
        <v>149.26770565471224</v>
      </c>
      <c r="X315" s="378"/>
      <c r="Y315" s="369"/>
      <c r="Z315" s="371">
        <f t="shared" si="38"/>
        <v>8.7416100000000004E-3</v>
      </c>
      <c r="AA315" s="371">
        <f t="shared" si="39"/>
        <v>0</v>
      </c>
      <c r="AB315" s="372" t="str">
        <f t="shared" si="40"/>
        <v>N</v>
      </c>
      <c r="AC315" s="337">
        <v>209</v>
      </c>
      <c r="AD315" s="334"/>
      <c r="AE315" s="334"/>
      <c r="AF315" s="334"/>
      <c r="AG315" s="334"/>
      <c r="AH315" s="333"/>
      <c r="AI315" s="334"/>
      <c r="AJ315" s="365"/>
      <c r="AK315" s="366">
        <f t="shared" si="41"/>
        <v>208.5</v>
      </c>
      <c r="AL315" s="367">
        <f t="shared" si="46"/>
        <v>396.37735179745624</v>
      </c>
      <c r="AM315" s="378"/>
      <c r="AN315" s="369"/>
      <c r="AO315" s="371">
        <f t="shared" si="42"/>
        <v>1.3451940000000001E-2</v>
      </c>
      <c r="AP315" s="371">
        <f t="shared" si="43"/>
        <v>0</v>
      </c>
      <c r="AQ315" s="372" t="str">
        <f t="shared" si="44"/>
        <v>N</v>
      </c>
      <c r="AR315" s="337">
        <v>209</v>
      </c>
      <c r="AS315" s="334"/>
      <c r="AT315" s="334"/>
      <c r="AU315" s="334"/>
      <c r="AV315" s="334"/>
      <c r="AW315" s="321"/>
    </row>
    <row r="316" spans="19:49">
      <c r="S316" s="321"/>
      <c r="T316" s="334"/>
      <c r="U316" s="365"/>
      <c r="V316" s="366">
        <f t="shared" si="37"/>
        <v>209.5</v>
      </c>
      <c r="W316" s="367">
        <f t="shared" si="45"/>
        <v>147.96286544377855</v>
      </c>
      <c r="X316" s="378"/>
      <c r="Y316" s="369"/>
      <c r="Z316" s="371">
        <f t="shared" si="38"/>
        <v>8.7416100000000004E-3</v>
      </c>
      <c r="AA316" s="371">
        <f t="shared" si="39"/>
        <v>0</v>
      </c>
      <c r="AB316" s="372" t="str">
        <f t="shared" si="40"/>
        <v>N</v>
      </c>
      <c r="AC316" s="337">
        <v>210</v>
      </c>
      <c r="AD316" s="334"/>
      <c r="AE316" s="334"/>
      <c r="AF316" s="334"/>
      <c r="AG316" s="334"/>
      <c r="AH316" s="333"/>
      <c r="AI316" s="334"/>
      <c r="AJ316" s="365"/>
      <c r="AK316" s="366">
        <f t="shared" si="41"/>
        <v>209.5</v>
      </c>
      <c r="AL316" s="367">
        <f t="shared" si="46"/>
        <v>391.04530466437188</v>
      </c>
      <c r="AM316" s="378"/>
      <c r="AN316" s="369"/>
      <c r="AO316" s="371">
        <f t="shared" si="42"/>
        <v>1.3451940000000001E-2</v>
      </c>
      <c r="AP316" s="371">
        <f t="shared" si="43"/>
        <v>0</v>
      </c>
      <c r="AQ316" s="372" t="str">
        <f t="shared" si="44"/>
        <v>N</v>
      </c>
      <c r="AR316" s="337">
        <v>210</v>
      </c>
      <c r="AS316" s="334"/>
      <c r="AT316" s="334"/>
      <c r="AU316" s="334"/>
      <c r="AV316" s="334"/>
      <c r="AW316" s="321"/>
    </row>
    <row r="317" spans="19:49">
      <c r="S317" s="321"/>
      <c r="T317" s="334"/>
      <c r="U317" s="365"/>
      <c r="V317" s="366">
        <f t="shared" si="37"/>
        <v>210.5</v>
      </c>
      <c r="W317" s="367">
        <f t="shared" si="45"/>
        <v>146.66943163832696</v>
      </c>
      <c r="X317" s="378"/>
      <c r="Y317" s="369"/>
      <c r="Z317" s="371">
        <f t="shared" si="38"/>
        <v>8.7416100000000004E-3</v>
      </c>
      <c r="AA317" s="371">
        <f t="shared" si="39"/>
        <v>0</v>
      </c>
      <c r="AB317" s="372" t="str">
        <f t="shared" si="40"/>
        <v>N</v>
      </c>
      <c r="AC317" s="337">
        <v>211</v>
      </c>
      <c r="AD317" s="334"/>
      <c r="AE317" s="334"/>
      <c r="AF317" s="334"/>
      <c r="AG317" s="334"/>
      <c r="AH317" s="333"/>
      <c r="AI317" s="334"/>
      <c r="AJ317" s="365"/>
      <c r="AK317" s="366">
        <f t="shared" si="41"/>
        <v>210.5</v>
      </c>
      <c r="AL317" s="367">
        <f t="shared" si="46"/>
        <v>385.78498394678667</v>
      </c>
      <c r="AM317" s="378"/>
      <c r="AN317" s="369"/>
      <c r="AO317" s="371">
        <f t="shared" si="42"/>
        <v>1.3451940000000001E-2</v>
      </c>
      <c r="AP317" s="371">
        <f t="shared" si="43"/>
        <v>0</v>
      </c>
      <c r="AQ317" s="372" t="str">
        <f t="shared" si="44"/>
        <v>N</v>
      </c>
      <c r="AR317" s="337">
        <v>211</v>
      </c>
      <c r="AS317" s="334"/>
      <c r="AT317" s="334"/>
      <c r="AU317" s="334"/>
      <c r="AV317" s="334"/>
      <c r="AW317" s="321"/>
    </row>
    <row r="318" spans="19:49">
      <c r="S318" s="321"/>
      <c r="T318" s="334"/>
      <c r="U318" s="365"/>
      <c r="V318" s="366">
        <f t="shared" si="37"/>
        <v>211.5</v>
      </c>
      <c r="W318" s="367">
        <f t="shared" si="45"/>
        <v>145.38730452799817</v>
      </c>
      <c r="X318" s="378"/>
      <c r="Y318" s="369"/>
      <c r="Z318" s="371">
        <f t="shared" si="38"/>
        <v>8.7416100000000004E-3</v>
      </c>
      <c r="AA318" s="371">
        <f t="shared" si="39"/>
        <v>0</v>
      </c>
      <c r="AB318" s="372" t="str">
        <f t="shared" si="40"/>
        <v>N</v>
      </c>
      <c r="AC318" s="337">
        <v>212</v>
      </c>
      <c r="AD318" s="334"/>
      <c r="AE318" s="334"/>
      <c r="AF318" s="334"/>
      <c r="AG318" s="334"/>
      <c r="AH318" s="333"/>
      <c r="AI318" s="334"/>
      <c r="AJ318" s="365"/>
      <c r="AK318" s="366">
        <f t="shared" si="41"/>
        <v>211.5</v>
      </c>
      <c r="AL318" s="367">
        <f t="shared" si="46"/>
        <v>380.59542478475976</v>
      </c>
      <c r="AM318" s="378"/>
      <c r="AN318" s="369"/>
      <c r="AO318" s="371">
        <f t="shared" si="42"/>
        <v>1.3451940000000001E-2</v>
      </c>
      <c r="AP318" s="371">
        <f t="shared" si="43"/>
        <v>0</v>
      </c>
      <c r="AQ318" s="372" t="str">
        <f t="shared" si="44"/>
        <v>N</v>
      </c>
      <c r="AR318" s="337">
        <v>212</v>
      </c>
      <c r="AS318" s="334"/>
      <c r="AT318" s="334"/>
      <c r="AU318" s="334"/>
      <c r="AV318" s="334"/>
      <c r="AW318" s="321"/>
    </row>
    <row r="319" spans="19:49">
      <c r="S319" s="321"/>
      <c r="T319" s="334"/>
      <c r="U319" s="365"/>
      <c r="V319" s="366">
        <f t="shared" si="37"/>
        <v>212.5</v>
      </c>
      <c r="W319" s="367">
        <f t="shared" si="45"/>
        <v>144.11638527406242</v>
      </c>
      <c r="X319" s="378"/>
      <c r="Y319" s="369"/>
      <c r="Z319" s="371">
        <f t="shared" si="38"/>
        <v>8.7416100000000004E-3</v>
      </c>
      <c r="AA319" s="371">
        <f t="shared" si="39"/>
        <v>0</v>
      </c>
      <c r="AB319" s="372" t="str">
        <f t="shared" si="40"/>
        <v>N</v>
      </c>
      <c r="AC319" s="337">
        <v>213</v>
      </c>
      <c r="AD319" s="334"/>
      <c r="AE319" s="334"/>
      <c r="AF319" s="334"/>
      <c r="AG319" s="334"/>
      <c r="AH319" s="333"/>
      <c r="AI319" s="334"/>
      <c r="AJ319" s="365"/>
      <c r="AK319" s="366">
        <f t="shared" si="41"/>
        <v>212.5</v>
      </c>
      <c r="AL319" s="367">
        <f t="shared" si="46"/>
        <v>375.47567529759544</v>
      </c>
      <c r="AM319" s="378"/>
      <c r="AN319" s="369"/>
      <c r="AO319" s="371">
        <f t="shared" si="42"/>
        <v>1.3451940000000001E-2</v>
      </c>
      <c r="AP319" s="371">
        <f t="shared" si="43"/>
        <v>0</v>
      </c>
      <c r="AQ319" s="372" t="str">
        <f t="shared" si="44"/>
        <v>N</v>
      </c>
      <c r="AR319" s="337">
        <v>213</v>
      </c>
      <c r="AS319" s="334"/>
      <c r="AT319" s="334"/>
      <c r="AU319" s="334"/>
      <c r="AV319" s="334"/>
      <c r="AW319" s="321"/>
    </row>
    <row r="320" spans="19:49">
      <c r="S320" s="321"/>
      <c r="T320" s="334"/>
      <c r="U320" s="365"/>
      <c r="V320" s="366">
        <f t="shared" si="37"/>
        <v>213.5</v>
      </c>
      <c r="W320" s="367">
        <f t="shared" si="45"/>
        <v>142.85657590179937</v>
      </c>
      <c r="X320" s="378"/>
      <c r="Y320" s="369"/>
      <c r="Z320" s="371">
        <f t="shared" si="38"/>
        <v>8.7416100000000004E-3</v>
      </c>
      <c r="AA320" s="371">
        <f t="shared" si="39"/>
        <v>0</v>
      </c>
      <c r="AB320" s="372" t="str">
        <f t="shared" si="40"/>
        <v>N</v>
      </c>
      <c r="AC320" s="337">
        <v>214</v>
      </c>
      <c r="AD320" s="334"/>
      <c r="AE320" s="334"/>
      <c r="AF320" s="334"/>
      <c r="AG320" s="334"/>
      <c r="AH320" s="333"/>
      <c r="AI320" s="334"/>
      <c r="AJ320" s="365"/>
      <c r="AK320" s="366">
        <f t="shared" si="41"/>
        <v>213.5</v>
      </c>
      <c r="AL320" s="367">
        <f t="shared" si="46"/>
        <v>370.42479640924665</v>
      </c>
      <c r="AM320" s="378"/>
      <c r="AN320" s="369"/>
      <c r="AO320" s="371">
        <f t="shared" si="42"/>
        <v>1.3451940000000001E-2</v>
      </c>
      <c r="AP320" s="371">
        <f t="shared" si="43"/>
        <v>0</v>
      </c>
      <c r="AQ320" s="372" t="str">
        <f t="shared" si="44"/>
        <v>N</v>
      </c>
      <c r="AR320" s="337">
        <v>214</v>
      </c>
      <c r="AS320" s="334"/>
      <c r="AT320" s="334"/>
      <c r="AU320" s="334"/>
      <c r="AV320" s="334"/>
      <c r="AW320" s="321"/>
    </row>
    <row r="321" spans="19:49">
      <c r="S321" s="321"/>
      <c r="T321" s="334"/>
      <c r="U321" s="365"/>
      <c r="V321" s="366">
        <f t="shared" si="37"/>
        <v>214.5</v>
      </c>
      <c r="W321" s="367">
        <f t="shared" si="45"/>
        <v>141.60777929294574</v>
      </c>
      <c r="X321" s="378"/>
      <c r="Y321" s="369"/>
      <c r="Z321" s="371">
        <f t="shared" si="38"/>
        <v>8.7416100000000004E-3</v>
      </c>
      <c r="AA321" s="371">
        <f t="shared" si="39"/>
        <v>0</v>
      </c>
      <c r="AB321" s="372" t="str">
        <f t="shared" si="40"/>
        <v>N</v>
      </c>
      <c r="AC321" s="337">
        <v>215</v>
      </c>
      <c r="AD321" s="334"/>
      <c r="AE321" s="334"/>
      <c r="AF321" s="334"/>
      <c r="AG321" s="334"/>
      <c r="AH321" s="333"/>
      <c r="AI321" s="334"/>
      <c r="AJ321" s="365"/>
      <c r="AK321" s="366">
        <f t="shared" si="41"/>
        <v>214.5</v>
      </c>
      <c r="AL321" s="367">
        <f t="shared" si="46"/>
        <v>365.44186167606711</v>
      </c>
      <c r="AM321" s="378"/>
      <c r="AN321" s="369"/>
      <c r="AO321" s="371">
        <f t="shared" si="42"/>
        <v>1.3451940000000001E-2</v>
      </c>
      <c r="AP321" s="371">
        <f t="shared" si="43"/>
        <v>0</v>
      </c>
      <c r="AQ321" s="372" t="str">
        <f t="shared" si="44"/>
        <v>N</v>
      </c>
      <c r="AR321" s="337">
        <v>215</v>
      </c>
      <c r="AS321" s="334"/>
      <c r="AT321" s="334"/>
      <c r="AU321" s="334"/>
      <c r="AV321" s="334"/>
      <c r="AW321" s="321"/>
    </row>
    <row r="322" spans="19:49" ht="15.05" thickBot="1">
      <c r="S322" s="321"/>
      <c r="T322" s="334"/>
      <c r="U322" s="373">
        <f>1+U310</f>
        <v>18</v>
      </c>
      <c r="V322" s="374">
        <f t="shared" si="37"/>
        <v>215.5</v>
      </c>
      <c r="W322" s="367">
        <f t="shared" si="45"/>
        <v>140.36989917820824</v>
      </c>
      <c r="X322" s="375">
        <f>SUM(W311:W322)</f>
        <v>1768.5888390715836</v>
      </c>
      <c r="Y322" s="376">
        <f>-(X322/X310-1)</f>
        <v>9.9999999999999978E-2</v>
      </c>
      <c r="Z322" s="371">
        <f t="shared" si="38"/>
        <v>8.7416100000000004E-3</v>
      </c>
      <c r="AA322" s="371">
        <f t="shared" si="39"/>
        <v>0</v>
      </c>
      <c r="AB322" s="372" t="str">
        <f t="shared" si="40"/>
        <v>N</v>
      </c>
      <c r="AC322" s="337">
        <v>216</v>
      </c>
      <c r="AD322" s="334"/>
      <c r="AE322" s="334"/>
      <c r="AF322" s="334"/>
      <c r="AG322" s="334"/>
      <c r="AH322" s="333"/>
      <c r="AI322" s="334"/>
      <c r="AJ322" s="373">
        <f>1+AJ310</f>
        <v>18</v>
      </c>
      <c r="AK322" s="374">
        <f t="shared" si="41"/>
        <v>215.5</v>
      </c>
      <c r="AL322" s="367">
        <f t="shared" si="46"/>
        <v>360.52595711688184</v>
      </c>
      <c r="AM322" s="375">
        <f>SUM(AL311:AL322)</f>
        <v>4665.9702744126662</v>
      </c>
      <c r="AN322" s="376">
        <f>-(AM322/AM310-1)</f>
        <v>0.15000000000000013</v>
      </c>
      <c r="AO322" s="371">
        <f t="shared" si="42"/>
        <v>1.3451940000000001E-2</v>
      </c>
      <c r="AP322" s="371">
        <f t="shared" si="43"/>
        <v>0</v>
      </c>
      <c r="AQ322" s="372" t="str">
        <f t="shared" si="44"/>
        <v>N</v>
      </c>
      <c r="AR322" s="337">
        <v>216</v>
      </c>
      <c r="AS322" s="334"/>
      <c r="AT322" s="334"/>
      <c r="AU322" s="334"/>
      <c r="AV322" s="334"/>
      <c r="AW322" s="321"/>
    </row>
    <row r="323" spans="19:49">
      <c r="S323" s="321"/>
      <c r="T323" s="334"/>
      <c r="U323" s="365"/>
      <c r="V323" s="366">
        <f t="shared" si="37"/>
        <v>216.5</v>
      </c>
      <c r="W323" s="377">
        <f t="shared" si="45"/>
        <v>139.14284012984237</v>
      </c>
      <c r="X323" s="378"/>
      <c r="Y323" s="369"/>
      <c r="Z323" s="371">
        <f t="shared" si="38"/>
        <v>8.7416100000000004E-3</v>
      </c>
      <c r="AA323" s="371">
        <f t="shared" si="39"/>
        <v>0</v>
      </c>
      <c r="AB323" s="372" t="str">
        <f t="shared" si="40"/>
        <v>N</v>
      </c>
      <c r="AC323" s="337">
        <v>217</v>
      </c>
      <c r="AD323" s="334"/>
      <c r="AE323" s="334"/>
      <c r="AF323" s="334"/>
      <c r="AG323" s="334"/>
      <c r="AH323" s="333"/>
      <c r="AI323" s="334"/>
      <c r="AJ323" s="365"/>
      <c r="AK323" s="366">
        <f t="shared" si="41"/>
        <v>216.5</v>
      </c>
      <c r="AL323" s="377">
        <f t="shared" si="46"/>
        <v>355.67618104534228</v>
      </c>
      <c r="AM323" s="378"/>
      <c r="AN323" s="369"/>
      <c r="AO323" s="371">
        <f t="shared" si="42"/>
        <v>1.3451940000000001E-2</v>
      </c>
      <c r="AP323" s="371">
        <f t="shared" si="43"/>
        <v>0</v>
      </c>
      <c r="AQ323" s="372" t="str">
        <f t="shared" si="44"/>
        <v>N</v>
      </c>
      <c r="AR323" s="337">
        <v>217</v>
      </c>
      <c r="AS323" s="334"/>
      <c r="AT323" s="334"/>
      <c r="AU323" s="334"/>
      <c r="AV323" s="334"/>
      <c r="AW323" s="321"/>
    </row>
    <row r="324" spans="19:49">
      <c r="S324" s="321"/>
      <c r="T324" s="334"/>
      <c r="U324" s="365"/>
      <c r="V324" s="366">
        <f t="shared" si="37"/>
        <v>217.5</v>
      </c>
      <c r="W324" s="367">
        <f t="shared" si="45"/>
        <v>137.92650755429571</v>
      </c>
      <c r="X324" s="378"/>
      <c r="Y324" s="369"/>
      <c r="Z324" s="371">
        <f t="shared" si="38"/>
        <v>8.7416100000000004E-3</v>
      </c>
      <c r="AA324" s="371">
        <f t="shared" si="39"/>
        <v>0</v>
      </c>
      <c r="AB324" s="372" t="str">
        <f t="shared" si="40"/>
        <v>N</v>
      </c>
      <c r="AC324" s="337">
        <v>218</v>
      </c>
      <c r="AD324" s="334"/>
      <c r="AE324" s="334"/>
      <c r="AF324" s="334"/>
      <c r="AG324" s="334"/>
      <c r="AH324" s="333"/>
      <c r="AI324" s="334"/>
      <c r="AJ324" s="365"/>
      <c r="AK324" s="366">
        <f t="shared" si="41"/>
        <v>217.5</v>
      </c>
      <c r="AL324" s="367">
        <f t="shared" si="46"/>
        <v>350.89164390453635</v>
      </c>
      <c r="AM324" s="378"/>
      <c r="AN324" s="369"/>
      <c r="AO324" s="371">
        <f t="shared" si="42"/>
        <v>1.3451940000000001E-2</v>
      </c>
      <c r="AP324" s="371">
        <f t="shared" si="43"/>
        <v>0</v>
      </c>
      <c r="AQ324" s="372" t="str">
        <f t="shared" si="44"/>
        <v>N</v>
      </c>
      <c r="AR324" s="337">
        <v>218</v>
      </c>
      <c r="AS324" s="334"/>
      <c r="AT324" s="334"/>
      <c r="AU324" s="334"/>
      <c r="AV324" s="334"/>
      <c r="AW324" s="321"/>
    </row>
    <row r="325" spans="19:49">
      <c r="S325" s="321"/>
      <c r="T325" s="334"/>
      <c r="U325" s="365"/>
      <c r="V325" s="366">
        <f t="shared" si="37"/>
        <v>218.5</v>
      </c>
      <c r="W325" s="367">
        <f t="shared" si="45"/>
        <v>136.72080768491602</v>
      </c>
      <c r="X325" s="378"/>
      <c r="Y325" s="369"/>
      <c r="Z325" s="371">
        <f t="shared" si="38"/>
        <v>8.7416100000000004E-3</v>
      </c>
      <c r="AA325" s="371">
        <f t="shared" si="39"/>
        <v>0</v>
      </c>
      <c r="AB325" s="372" t="str">
        <f t="shared" si="40"/>
        <v>N</v>
      </c>
      <c r="AC325" s="337">
        <v>219</v>
      </c>
      <c r="AD325" s="334"/>
      <c r="AE325" s="334"/>
      <c r="AF325" s="334"/>
      <c r="AG325" s="334"/>
      <c r="AH325" s="333"/>
      <c r="AI325" s="334"/>
      <c r="AJ325" s="365"/>
      <c r="AK325" s="366">
        <f t="shared" si="41"/>
        <v>218.5</v>
      </c>
      <c r="AL325" s="367">
        <f t="shared" si="46"/>
        <v>346.17146810382508</v>
      </c>
      <c r="AM325" s="378"/>
      <c r="AN325" s="369"/>
      <c r="AO325" s="371">
        <f t="shared" si="42"/>
        <v>1.3451940000000001E-2</v>
      </c>
      <c r="AP325" s="371">
        <f t="shared" si="43"/>
        <v>0</v>
      </c>
      <c r="AQ325" s="372" t="str">
        <f t="shared" si="44"/>
        <v>N</v>
      </c>
      <c r="AR325" s="337">
        <v>219</v>
      </c>
      <c r="AS325" s="334"/>
      <c r="AT325" s="334"/>
      <c r="AU325" s="334"/>
      <c r="AV325" s="334"/>
      <c r="AW325" s="321"/>
    </row>
    <row r="326" spans="19:49">
      <c r="S326" s="321"/>
      <c r="T326" s="334"/>
      <c r="U326" s="365"/>
      <c r="V326" s="366">
        <f t="shared" si="37"/>
        <v>219.5</v>
      </c>
      <c r="W326" s="367">
        <f t="shared" si="45"/>
        <v>135.5256475747226</v>
      </c>
      <c r="X326" s="378"/>
      <c r="Y326" s="369"/>
      <c r="Z326" s="371">
        <f t="shared" si="38"/>
        <v>8.7416100000000004E-3</v>
      </c>
      <c r="AA326" s="371">
        <f t="shared" si="39"/>
        <v>0</v>
      </c>
      <c r="AB326" s="372" t="str">
        <f t="shared" si="40"/>
        <v>N</v>
      </c>
      <c r="AC326" s="337">
        <v>220</v>
      </c>
      <c r="AD326" s="334"/>
      <c r="AE326" s="334"/>
      <c r="AF326" s="334"/>
      <c r="AG326" s="334"/>
      <c r="AH326" s="333"/>
      <c r="AI326" s="334"/>
      <c r="AJ326" s="365"/>
      <c r="AK326" s="366">
        <f t="shared" si="41"/>
        <v>219.5</v>
      </c>
      <c r="AL326" s="367">
        <f t="shared" si="46"/>
        <v>341.51478785787157</v>
      </c>
      <c r="AM326" s="378"/>
      <c r="AN326" s="369"/>
      <c r="AO326" s="371">
        <f t="shared" si="42"/>
        <v>1.3451940000000001E-2</v>
      </c>
      <c r="AP326" s="371">
        <f t="shared" si="43"/>
        <v>0</v>
      </c>
      <c r="AQ326" s="372" t="str">
        <f t="shared" si="44"/>
        <v>N</v>
      </c>
      <c r="AR326" s="337">
        <v>220</v>
      </c>
      <c r="AS326" s="334"/>
      <c r="AT326" s="334"/>
      <c r="AU326" s="334"/>
      <c r="AV326" s="334"/>
      <c r="AW326" s="321"/>
    </row>
    <row r="327" spans="19:49">
      <c r="S327" s="321"/>
      <c r="T327" s="334"/>
      <c r="U327" s="365"/>
      <c r="V327" s="366">
        <f t="shared" si="37"/>
        <v>220.5</v>
      </c>
      <c r="W327" s="367">
        <f t="shared" si="45"/>
        <v>134.34093508924101</v>
      </c>
      <c r="X327" s="378"/>
      <c r="Y327" s="369"/>
      <c r="Z327" s="371">
        <f t="shared" si="38"/>
        <v>8.7416100000000004E-3</v>
      </c>
      <c r="AA327" s="371">
        <f t="shared" si="39"/>
        <v>0</v>
      </c>
      <c r="AB327" s="372" t="str">
        <f t="shared" si="40"/>
        <v>N</v>
      </c>
      <c r="AC327" s="337">
        <v>221</v>
      </c>
      <c r="AD327" s="334"/>
      <c r="AE327" s="334"/>
      <c r="AF327" s="334"/>
      <c r="AG327" s="334"/>
      <c r="AH327" s="333"/>
      <c r="AI327" s="334"/>
      <c r="AJ327" s="365"/>
      <c r="AK327" s="366">
        <f t="shared" si="41"/>
        <v>220.5</v>
      </c>
      <c r="AL327" s="367">
        <f t="shared" si="46"/>
        <v>336.92074902783787</v>
      </c>
      <c r="AM327" s="378"/>
      <c r="AN327" s="369"/>
      <c r="AO327" s="371">
        <f t="shared" si="42"/>
        <v>1.3451940000000001E-2</v>
      </c>
      <c r="AP327" s="371">
        <f t="shared" si="43"/>
        <v>0</v>
      </c>
      <c r="AQ327" s="372" t="str">
        <f t="shared" si="44"/>
        <v>N</v>
      </c>
      <c r="AR327" s="337">
        <v>221</v>
      </c>
      <c r="AS327" s="334"/>
      <c r="AT327" s="334"/>
      <c r="AU327" s="334"/>
      <c r="AV327" s="334"/>
      <c r="AW327" s="321"/>
    </row>
    <row r="328" spans="19:49">
      <c r="S328" s="321"/>
      <c r="T328" s="334"/>
      <c r="U328" s="365"/>
      <c r="V328" s="366">
        <f t="shared" si="37"/>
        <v>221.5</v>
      </c>
      <c r="W328" s="367">
        <f t="shared" si="45"/>
        <v>133.16657889940072</v>
      </c>
      <c r="X328" s="378"/>
      <c r="Y328" s="369"/>
      <c r="Z328" s="371">
        <f t="shared" si="38"/>
        <v>8.7416100000000004E-3</v>
      </c>
      <c r="AA328" s="371">
        <f t="shared" si="39"/>
        <v>0</v>
      </c>
      <c r="AB328" s="372" t="str">
        <f t="shared" si="40"/>
        <v>N</v>
      </c>
      <c r="AC328" s="337">
        <v>222</v>
      </c>
      <c r="AD328" s="334"/>
      <c r="AE328" s="334"/>
      <c r="AF328" s="334"/>
      <c r="AG328" s="334"/>
      <c r="AH328" s="333"/>
      <c r="AI328" s="334"/>
      <c r="AJ328" s="365"/>
      <c r="AK328" s="366">
        <f t="shared" si="41"/>
        <v>221.5</v>
      </c>
      <c r="AL328" s="367">
        <f t="shared" si="46"/>
        <v>332.38850896471615</v>
      </c>
      <c r="AM328" s="378"/>
      <c r="AN328" s="369"/>
      <c r="AO328" s="371">
        <f t="shared" si="42"/>
        <v>1.3451940000000001E-2</v>
      </c>
      <c r="AP328" s="371">
        <f t="shared" si="43"/>
        <v>0</v>
      </c>
      <c r="AQ328" s="372" t="str">
        <f t="shared" si="44"/>
        <v>N</v>
      </c>
      <c r="AR328" s="337">
        <v>222</v>
      </c>
      <c r="AS328" s="334"/>
      <c r="AT328" s="334"/>
      <c r="AU328" s="334"/>
      <c r="AV328" s="334"/>
      <c r="AW328" s="321"/>
    </row>
    <row r="329" spans="19:49">
      <c r="S329" s="321"/>
      <c r="T329" s="334"/>
      <c r="U329" s="365"/>
      <c r="V329" s="366">
        <f t="shared" si="37"/>
        <v>222.5</v>
      </c>
      <c r="W329" s="367">
        <f t="shared" si="45"/>
        <v>132.00248847449424</v>
      </c>
      <c r="X329" s="378"/>
      <c r="Y329" s="369"/>
      <c r="Z329" s="371">
        <f t="shared" si="38"/>
        <v>8.7416100000000004E-3</v>
      </c>
      <c r="AA329" s="371">
        <f t="shared" si="39"/>
        <v>0</v>
      </c>
      <c r="AB329" s="372" t="str">
        <f t="shared" si="40"/>
        <v>N</v>
      </c>
      <c r="AC329" s="337">
        <v>223</v>
      </c>
      <c r="AD329" s="334"/>
      <c r="AE329" s="334"/>
      <c r="AF329" s="334"/>
      <c r="AG329" s="334"/>
      <c r="AH329" s="333"/>
      <c r="AI329" s="334"/>
      <c r="AJ329" s="365"/>
      <c r="AK329" s="366">
        <f t="shared" si="41"/>
        <v>222.5</v>
      </c>
      <c r="AL329" s="367">
        <f t="shared" si="46"/>
        <v>327.9172363547687</v>
      </c>
      <c r="AM329" s="378"/>
      <c r="AN329" s="369"/>
      <c r="AO329" s="371">
        <f t="shared" si="42"/>
        <v>1.3451940000000001E-2</v>
      </c>
      <c r="AP329" s="371">
        <f t="shared" si="43"/>
        <v>0</v>
      </c>
      <c r="AQ329" s="372" t="str">
        <f t="shared" si="44"/>
        <v>N</v>
      </c>
      <c r="AR329" s="337">
        <v>223</v>
      </c>
      <c r="AS329" s="334"/>
      <c r="AT329" s="334"/>
      <c r="AU329" s="334"/>
      <c r="AV329" s="334"/>
      <c r="AW329" s="321"/>
    </row>
    <row r="330" spans="19:49">
      <c r="S330" s="321"/>
      <c r="T330" s="334"/>
      <c r="U330" s="365"/>
      <c r="V330" s="366">
        <f t="shared" si="37"/>
        <v>223.5</v>
      </c>
      <c r="W330" s="367">
        <f t="shared" si="45"/>
        <v>130.84857407519837</v>
      </c>
      <c r="X330" s="378"/>
      <c r="Y330" s="369"/>
      <c r="Z330" s="371">
        <f t="shared" si="38"/>
        <v>8.7416100000000004E-3</v>
      </c>
      <c r="AA330" s="371">
        <f t="shared" si="39"/>
        <v>0</v>
      </c>
      <c r="AB330" s="372" t="str">
        <f t="shared" si="40"/>
        <v>N</v>
      </c>
      <c r="AC330" s="337">
        <v>224</v>
      </c>
      <c r="AD330" s="334"/>
      <c r="AE330" s="334"/>
      <c r="AF330" s="334"/>
      <c r="AG330" s="334"/>
      <c r="AH330" s="333"/>
      <c r="AI330" s="334"/>
      <c r="AJ330" s="365"/>
      <c r="AK330" s="366">
        <f t="shared" si="41"/>
        <v>223.5</v>
      </c>
      <c r="AL330" s="367">
        <f t="shared" si="46"/>
        <v>323.50611106704588</v>
      </c>
      <c r="AM330" s="378"/>
      <c r="AN330" s="369"/>
      <c r="AO330" s="371">
        <f t="shared" si="42"/>
        <v>1.3451940000000001E-2</v>
      </c>
      <c r="AP330" s="371">
        <f t="shared" si="43"/>
        <v>0</v>
      </c>
      <c r="AQ330" s="372" t="str">
        <f t="shared" si="44"/>
        <v>N</v>
      </c>
      <c r="AR330" s="337">
        <v>224</v>
      </c>
      <c r="AS330" s="334"/>
      <c r="AT330" s="334"/>
      <c r="AU330" s="334"/>
      <c r="AV330" s="334"/>
      <c r="AW330" s="321"/>
    </row>
    <row r="331" spans="19:49">
      <c r="S331" s="321"/>
      <c r="T331" s="334"/>
      <c r="U331" s="365"/>
      <c r="V331" s="366">
        <f t="shared" si="37"/>
        <v>224.5</v>
      </c>
      <c r="W331" s="367">
        <f t="shared" si="45"/>
        <v>129.70474674665616</v>
      </c>
      <c r="X331" s="378"/>
      <c r="Y331" s="369"/>
      <c r="Z331" s="371">
        <f t="shared" si="38"/>
        <v>8.7416100000000004E-3</v>
      </c>
      <c r="AA331" s="371">
        <f t="shared" si="39"/>
        <v>0</v>
      </c>
      <c r="AB331" s="372" t="str">
        <f t="shared" si="40"/>
        <v>N</v>
      </c>
      <c r="AC331" s="337">
        <v>225</v>
      </c>
      <c r="AD331" s="334"/>
      <c r="AE331" s="334"/>
      <c r="AF331" s="334"/>
      <c r="AG331" s="334"/>
      <c r="AH331" s="333"/>
      <c r="AI331" s="334"/>
      <c r="AJ331" s="365"/>
      <c r="AK331" s="366">
        <f t="shared" si="41"/>
        <v>224.5</v>
      </c>
      <c r="AL331" s="367">
        <f t="shared" si="46"/>
        <v>319.15432400295612</v>
      </c>
      <c r="AM331" s="378"/>
      <c r="AN331" s="369"/>
      <c r="AO331" s="371">
        <f t="shared" si="42"/>
        <v>1.3451940000000001E-2</v>
      </c>
      <c r="AP331" s="371">
        <f t="shared" si="43"/>
        <v>0</v>
      </c>
      <c r="AQ331" s="372" t="str">
        <f t="shared" si="44"/>
        <v>N</v>
      </c>
      <c r="AR331" s="337">
        <v>225</v>
      </c>
      <c r="AS331" s="334"/>
      <c r="AT331" s="334"/>
      <c r="AU331" s="334"/>
      <c r="AV331" s="334"/>
      <c r="AW331" s="321"/>
    </row>
    <row r="332" spans="19:49">
      <c r="S332" s="321"/>
      <c r="T332" s="334"/>
      <c r="U332" s="365"/>
      <c r="V332" s="366">
        <f t="shared" si="37"/>
        <v>225.5</v>
      </c>
      <c r="W332" s="367">
        <f t="shared" si="45"/>
        <v>128.57091831161947</v>
      </c>
      <c r="X332" s="378"/>
      <c r="Y332" s="369"/>
      <c r="Z332" s="371">
        <f t="shared" si="38"/>
        <v>8.7416100000000004E-3</v>
      </c>
      <c r="AA332" s="371">
        <f t="shared" si="39"/>
        <v>0</v>
      </c>
      <c r="AB332" s="372" t="str">
        <f t="shared" si="40"/>
        <v>N</v>
      </c>
      <c r="AC332" s="337">
        <v>226</v>
      </c>
      <c r="AD332" s="334"/>
      <c r="AE332" s="334"/>
      <c r="AF332" s="334"/>
      <c r="AG332" s="334"/>
      <c r="AH332" s="333"/>
      <c r="AI332" s="334"/>
      <c r="AJ332" s="365"/>
      <c r="AK332" s="366">
        <f t="shared" si="41"/>
        <v>225.5</v>
      </c>
      <c r="AL332" s="367">
        <f t="shared" si="46"/>
        <v>314.86107694785954</v>
      </c>
      <c r="AM332" s="378"/>
      <c r="AN332" s="369"/>
      <c r="AO332" s="371">
        <f t="shared" si="42"/>
        <v>1.3451940000000001E-2</v>
      </c>
      <c r="AP332" s="371">
        <f t="shared" si="43"/>
        <v>0</v>
      </c>
      <c r="AQ332" s="372" t="str">
        <f t="shared" si="44"/>
        <v>N</v>
      </c>
      <c r="AR332" s="337">
        <v>226</v>
      </c>
      <c r="AS332" s="334"/>
      <c r="AT332" s="334"/>
      <c r="AU332" s="334"/>
      <c r="AV332" s="334"/>
      <c r="AW332" s="321"/>
    </row>
    <row r="333" spans="19:49">
      <c r="S333" s="321"/>
      <c r="T333" s="334"/>
      <c r="U333" s="365"/>
      <c r="V333" s="366">
        <f t="shared" si="37"/>
        <v>226.5</v>
      </c>
      <c r="W333" s="367">
        <f t="shared" si="45"/>
        <v>127.44700136365117</v>
      </c>
      <c r="X333" s="378"/>
      <c r="Y333" s="369"/>
      <c r="Z333" s="371">
        <f t="shared" si="38"/>
        <v>8.7416100000000004E-3</v>
      </c>
      <c r="AA333" s="371">
        <f t="shared" si="39"/>
        <v>0</v>
      </c>
      <c r="AB333" s="372" t="str">
        <f t="shared" si="40"/>
        <v>N</v>
      </c>
      <c r="AC333" s="337">
        <v>227</v>
      </c>
      <c r="AD333" s="334"/>
      <c r="AE333" s="334"/>
      <c r="AF333" s="334"/>
      <c r="AG333" s="334"/>
      <c r="AH333" s="333"/>
      <c r="AI333" s="334"/>
      <c r="AJ333" s="365"/>
      <c r="AK333" s="366">
        <f t="shared" si="41"/>
        <v>226.5</v>
      </c>
      <c r="AL333" s="367">
        <f t="shared" si="46"/>
        <v>310.62558242465701</v>
      </c>
      <c r="AM333" s="378"/>
      <c r="AN333" s="369"/>
      <c r="AO333" s="371">
        <f t="shared" si="42"/>
        <v>1.3451940000000001E-2</v>
      </c>
      <c r="AP333" s="371">
        <f t="shared" si="43"/>
        <v>0</v>
      </c>
      <c r="AQ333" s="372" t="str">
        <f t="shared" si="44"/>
        <v>N</v>
      </c>
      <c r="AR333" s="337">
        <v>227</v>
      </c>
      <c r="AS333" s="334"/>
      <c r="AT333" s="334"/>
      <c r="AU333" s="334"/>
      <c r="AV333" s="334"/>
      <c r="AW333" s="321"/>
    </row>
    <row r="334" spans="19:49" ht="15.05" thickBot="1">
      <c r="S334" s="321"/>
      <c r="T334" s="334"/>
      <c r="U334" s="373">
        <f>1+U322</f>
        <v>19</v>
      </c>
      <c r="V334" s="374">
        <f t="shared" si="37"/>
        <v>227.5</v>
      </c>
      <c r="W334" s="367">
        <f t="shared" si="45"/>
        <v>126.33290926038745</v>
      </c>
      <c r="X334" s="375">
        <f>SUM(W323:W334)</f>
        <v>1591.7299551644253</v>
      </c>
      <c r="Y334" s="376">
        <f>-(X334/X322-1)</f>
        <v>9.9999999999999978E-2</v>
      </c>
      <c r="Z334" s="371">
        <f t="shared" si="38"/>
        <v>8.7416100000000004E-3</v>
      </c>
      <c r="AA334" s="371">
        <f t="shared" si="39"/>
        <v>0</v>
      </c>
      <c r="AB334" s="372" t="str">
        <f t="shared" si="40"/>
        <v>N</v>
      </c>
      <c r="AC334" s="337">
        <v>228</v>
      </c>
      <c r="AD334" s="334"/>
      <c r="AE334" s="334"/>
      <c r="AF334" s="334"/>
      <c r="AG334" s="334"/>
      <c r="AH334" s="333"/>
      <c r="AI334" s="334"/>
      <c r="AJ334" s="373">
        <f>1+AJ322</f>
        <v>19</v>
      </c>
      <c r="AK334" s="374">
        <f t="shared" si="41"/>
        <v>227.5</v>
      </c>
      <c r="AL334" s="367">
        <f t="shared" si="46"/>
        <v>306.44706354934954</v>
      </c>
      <c r="AM334" s="375">
        <f>SUM(AL323:AL334)</f>
        <v>3966.0747332507658</v>
      </c>
      <c r="AN334" s="376">
        <f>-(AM334/AM322-1)</f>
        <v>0.15000000000000013</v>
      </c>
      <c r="AO334" s="371">
        <f t="shared" si="42"/>
        <v>1.3451940000000001E-2</v>
      </c>
      <c r="AP334" s="371">
        <f t="shared" si="43"/>
        <v>0</v>
      </c>
      <c r="AQ334" s="372" t="str">
        <f t="shared" si="44"/>
        <v>N</v>
      </c>
      <c r="AR334" s="337">
        <v>228</v>
      </c>
      <c r="AS334" s="334"/>
      <c r="AT334" s="334"/>
      <c r="AU334" s="334"/>
      <c r="AV334" s="334"/>
      <c r="AW334" s="321"/>
    </row>
    <row r="335" spans="19:49">
      <c r="S335" s="321"/>
      <c r="T335" s="334"/>
      <c r="U335" s="365"/>
      <c r="V335" s="366">
        <f t="shared" si="37"/>
        <v>228.5</v>
      </c>
      <c r="W335" s="377">
        <f t="shared" si="45"/>
        <v>125.22855611685814</v>
      </c>
      <c r="X335" s="378"/>
      <c r="Y335" s="369"/>
      <c r="Z335" s="371">
        <f t="shared" si="38"/>
        <v>8.7416100000000004E-3</v>
      </c>
      <c r="AA335" s="371">
        <f t="shared" si="39"/>
        <v>0</v>
      </c>
      <c r="AB335" s="372" t="str">
        <f t="shared" si="40"/>
        <v>N</v>
      </c>
      <c r="AC335" s="337">
        <v>229</v>
      </c>
      <c r="AD335" s="334"/>
      <c r="AE335" s="334"/>
      <c r="AF335" s="334"/>
      <c r="AG335" s="334"/>
      <c r="AH335" s="333"/>
      <c r="AI335" s="334"/>
      <c r="AJ335" s="365"/>
      <c r="AK335" s="366">
        <f t="shared" si="41"/>
        <v>228.5</v>
      </c>
      <c r="AL335" s="377">
        <f t="shared" si="46"/>
        <v>302.3247538885409</v>
      </c>
      <c r="AM335" s="378"/>
      <c r="AN335" s="369"/>
      <c r="AO335" s="371">
        <f t="shared" si="42"/>
        <v>1.3451940000000001E-2</v>
      </c>
      <c r="AP335" s="371">
        <f t="shared" si="43"/>
        <v>0</v>
      </c>
      <c r="AQ335" s="372" t="str">
        <f t="shared" si="44"/>
        <v>N</v>
      </c>
      <c r="AR335" s="337">
        <v>229</v>
      </c>
      <c r="AS335" s="334"/>
      <c r="AT335" s="334"/>
      <c r="AU335" s="334"/>
      <c r="AV335" s="334"/>
      <c r="AW335" s="321"/>
    </row>
    <row r="336" spans="19:49">
      <c r="S336" s="321"/>
      <c r="T336" s="334"/>
      <c r="U336" s="365"/>
      <c r="V336" s="366">
        <f t="shared" si="37"/>
        <v>229.5</v>
      </c>
      <c r="W336" s="367">
        <f t="shared" si="45"/>
        <v>124.13385679886616</v>
      </c>
      <c r="X336" s="378"/>
      <c r="Y336" s="369"/>
      <c r="Z336" s="371">
        <f t="shared" si="38"/>
        <v>8.7416100000000004E-3</v>
      </c>
      <c r="AA336" s="371">
        <f t="shared" si="39"/>
        <v>0</v>
      </c>
      <c r="AB336" s="372" t="str">
        <f t="shared" si="40"/>
        <v>N</v>
      </c>
      <c r="AC336" s="337">
        <v>230</v>
      </c>
      <c r="AD336" s="334"/>
      <c r="AE336" s="334"/>
      <c r="AF336" s="334"/>
      <c r="AG336" s="334"/>
      <c r="AH336" s="333"/>
      <c r="AI336" s="334"/>
      <c r="AJ336" s="365"/>
      <c r="AK336" s="366">
        <f t="shared" si="41"/>
        <v>229.5</v>
      </c>
      <c r="AL336" s="367">
        <f t="shared" si="46"/>
        <v>298.25789731885601</v>
      </c>
      <c r="AM336" s="378"/>
      <c r="AN336" s="369"/>
      <c r="AO336" s="371">
        <f t="shared" si="42"/>
        <v>1.3451940000000001E-2</v>
      </c>
      <c r="AP336" s="371">
        <f t="shared" si="43"/>
        <v>0</v>
      </c>
      <c r="AQ336" s="372" t="str">
        <f t="shared" si="44"/>
        <v>N</v>
      </c>
      <c r="AR336" s="337">
        <v>230</v>
      </c>
      <c r="AS336" s="334"/>
      <c r="AT336" s="334"/>
      <c r="AU336" s="334"/>
      <c r="AV336" s="334"/>
      <c r="AW336" s="321"/>
    </row>
    <row r="337" spans="19:49">
      <c r="S337" s="321"/>
      <c r="T337" s="334"/>
      <c r="U337" s="365"/>
      <c r="V337" s="366">
        <f t="shared" si="37"/>
        <v>230.5</v>
      </c>
      <c r="W337" s="367">
        <f t="shared" si="45"/>
        <v>123.04872691642441</v>
      </c>
      <c r="X337" s="378"/>
      <c r="Y337" s="369"/>
      <c r="Z337" s="371">
        <f t="shared" si="38"/>
        <v>8.7416100000000004E-3</v>
      </c>
      <c r="AA337" s="371">
        <f t="shared" si="39"/>
        <v>0</v>
      </c>
      <c r="AB337" s="372" t="str">
        <f t="shared" si="40"/>
        <v>N</v>
      </c>
      <c r="AC337" s="337">
        <v>231</v>
      </c>
      <c r="AD337" s="334"/>
      <c r="AE337" s="334"/>
      <c r="AF337" s="334"/>
      <c r="AG337" s="334"/>
      <c r="AH337" s="333"/>
      <c r="AI337" s="334"/>
      <c r="AJ337" s="365"/>
      <c r="AK337" s="366">
        <f t="shared" si="41"/>
        <v>230.5</v>
      </c>
      <c r="AL337" s="367">
        <f t="shared" si="46"/>
        <v>294.24574788825123</v>
      </c>
      <c r="AM337" s="378"/>
      <c r="AN337" s="369"/>
      <c r="AO337" s="371">
        <f t="shared" si="42"/>
        <v>1.3451940000000001E-2</v>
      </c>
      <c r="AP337" s="371">
        <f t="shared" si="43"/>
        <v>0</v>
      </c>
      <c r="AQ337" s="372" t="str">
        <f t="shared" si="44"/>
        <v>N</v>
      </c>
      <c r="AR337" s="337">
        <v>231</v>
      </c>
      <c r="AS337" s="334"/>
      <c r="AT337" s="334"/>
      <c r="AU337" s="334"/>
      <c r="AV337" s="334"/>
      <c r="AW337" s="321"/>
    </row>
    <row r="338" spans="19:49">
      <c r="S338" s="321"/>
      <c r="T338" s="334"/>
      <c r="U338" s="365"/>
      <c r="V338" s="366">
        <f t="shared" si="37"/>
        <v>231.5</v>
      </c>
      <c r="W338" s="367">
        <f t="shared" si="45"/>
        <v>121.97308281725034</v>
      </c>
      <c r="X338" s="378"/>
      <c r="Y338" s="369"/>
      <c r="Z338" s="371">
        <f t="shared" si="38"/>
        <v>8.7416100000000004E-3</v>
      </c>
      <c r="AA338" s="371">
        <f t="shared" si="39"/>
        <v>0</v>
      </c>
      <c r="AB338" s="372" t="str">
        <f t="shared" si="40"/>
        <v>N</v>
      </c>
      <c r="AC338" s="337">
        <v>232</v>
      </c>
      <c r="AD338" s="334"/>
      <c r="AE338" s="334"/>
      <c r="AF338" s="334"/>
      <c r="AG338" s="334"/>
      <c r="AH338" s="333"/>
      <c r="AI338" s="334"/>
      <c r="AJ338" s="365"/>
      <c r="AK338" s="366">
        <f t="shared" si="41"/>
        <v>231.5</v>
      </c>
      <c r="AL338" s="367">
        <f t="shared" si="46"/>
        <v>290.28756967919077</v>
      </c>
      <c r="AM338" s="378"/>
      <c r="AN338" s="369"/>
      <c r="AO338" s="371">
        <f t="shared" si="42"/>
        <v>1.3451940000000001E-2</v>
      </c>
      <c r="AP338" s="371">
        <f t="shared" si="43"/>
        <v>0</v>
      </c>
      <c r="AQ338" s="372" t="str">
        <f t="shared" si="44"/>
        <v>N</v>
      </c>
      <c r="AR338" s="337">
        <v>232</v>
      </c>
      <c r="AS338" s="334"/>
      <c r="AT338" s="334"/>
      <c r="AU338" s="334"/>
      <c r="AV338" s="334"/>
      <c r="AW338" s="321"/>
    </row>
    <row r="339" spans="19:49">
      <c r="S339" s="321"/>
      <c r="T339" s="334"/>
      <c r="U339" s="365"/>
      <c r="V339" s="366">
        <f t="shared" si="37"/>
        <v>232.5</v>
      </c>
      <c r="W339" s="367">
        <f t="shared" si="45"/>
        <v>120.90684158031694</v>
      </c>
      <c r="X339" s="378"/>
      <c r="Y339" s="369"/>
      <c r="Z339" s="371">
        <f t="shared" si="38"/>
        <v>8.7416100000000004E-3</v>
      </c>
      <c r="AA339" s="371">
        <f t="shared" si="39"/>
        <v>0</v>
      </c>
      <c r="AB339" s="372" t="str">
        <f t="shared" si="40"/>
        <v>N</v>
      </c>
      <c r="AC339" s="337">
        <v>233</v>
      </c>
      <c r="AD339" s="334"/>
      <c r="AE339" s="334"/>
      <c r="AF339" s="334"/>
      <c r="AG339" s="334"/>
      <c r="AH339" s="333"/>
      <c r="AI339" s="334"/>
      <c r="AJ339" s="365"/>
      <c r="AK339" s="366">
        <f t="shared" si="41"/>
        <v>232.5</v>
      </c>
      <c r="AL339" s="367">
        <f t="shared" si="46"/>
        <v>286.38263667366209</v>
      </c>
      <c r="AM339" s="378"/>
      <c r="AN339" s="369"/>
      <c r="AO339" s="371">
        <f t="shared" si="42"/>
        <v>1.3451940000000001E-2</v>
      </c>
      <c r="AP339" s="371">
        <f t="shared" si="43"/>
        <v>0</v>
      </c>
      <c r="AQ339" s="372" t="str">
        <f t="shared" si="44"/>
        <v>N</v>
      </c>
      <c r="AR339" s="337">
        <v>233</v>
      </c>
      <c r="AS339" s="334"/>
      <c r="AT339" s="334"/>
      <c r="AU339" s="334"/>
      <c r="AV339" s="334"/>
      <c r="AW339" s="321"/>
    </row>
    <row r="340" spans="19:49">
      <c r="S340" s="321"/>
      <c r="T340" s="334"/>
      <c r="U340" s="365"/>
      <c r="V340" s="366">
        <f t="shared" si="37"/>
        <v>233.5</v>
      </c>
      <c r="W340" s="367">
        <f t="shared" si="45"/>
        <v>119.84992100946064</v>
      </c>
      <c r="X340" s="378"/>
      <c r="Y340" s="369"/>
      <c r="Z340" s="371">
        <f t="shared" si="38"/>
        <v>8.7416100000000004E-3</v>
      </c>
      <c r="AA340" s="371">
        <f t="shared" si="39"/>
        <v>0</v>
      </c>
      <c r="AB340" s="372" t="str">
        <f t="shared" si="40"/>
        <v>N</v>
      </c>
      <c r="AC340" s="337">
        <v>234</v>
      </c>
      <c r="AD340" s="334"/>
      <c r="AE340" s="334"/>
      <c r="AF340" s="334"/>
      <c r="AG340" s="334"/>
      <c r="AH340" s="333"/>
      <c r="AI340" s="334"/>
      <c r="AJ340" s="365"/>
      <c r="AK340" s="366">
        <f t="shared" si="41"/>
        <v>233.5</v>
      </c>
      <c r="AL340" s="367">
        <f t="shared" si="46"/>
        <v>282.53023262000863</v>
      </c>
      <c r="AM340" s="378"/>
      <c r="AN340" s="369"/>
      <c r="AO340" s="371">
        <f t="shared" si="42"/>
        <v>1.3451940000000001E-2</v>
      </c>
      <c r="AP340" s="371">
        <f t="shared" si="43"/>
        <v>0</v>
      </c>
      <c r="AQ340" s="372" t="str">
        <f t="shared" si="44"/>
        <v>N</v>
      </c>
      <c r="AR340" s="337">
        <v>234</v>
      </c>
      <c r="AS340" s="334"/>
      <c r="AT340" s="334"/>
      <c r="AU340" s="334"/>
      <c r="AV340" s="334"/>
      <c r="AW340" s="321"/>
    </row>
    <row r="341" spans="19:49">
      <c r="S341" s="321"/>
      <c r="T341" s="334"/>
      <c r="U341" s="365"/>
      <c r="V341" s="366">
        <f t="shared" si="37"/>
        <v>234.5</v>
      </c>
      <c r="W341" s="367">
        <f t="shared" si="45"/>
        <v>118.80223962704481</v>
      </c>
      <c r="X341" s="378"/>
      <c r="Y341" s="369"/>
      <c r="Z341" s="371">
        <f t="shared" si="38"/>
        <v>8.7416100000000004E-3</v>
      </c>
      <c r="AA341" s="371">
        <f t="shared" si="39"/>
        <v>0</v>
      </c>
      <c r="AB341" s="372" t="str">
        <f t="shared" si="40"/>
        <v>N</v>
      </c>
      <c r="AC341" s="337">
        <v>235</v>
      </c>
      <c r="AD341" s="334"/>
      <c r="AE341" s="334"/>
      <c r="AF341" s="334"/>
      <c r="AG341" s="334"/>
      <c r="AH341" s="333"/>
      <c r="AI341" s="334"/>
      <c r="AJ341" s="365"/>
      <c r="AK341" s="366">
        <f t="shared" si="41"/>
        <v>234.5</v>
      </c>
      <c r="AL341" s="367">
        <f t="shared" si="46"/>
        <v>278.72965090155344</v>
      </c>
      <c r="AM341" s="378"/>
      <c r="AN341" s="369"/>
      <c r="AO341" s="371">
        <f t="shared" si="42"/>
        <v>1.3451940000000001E-2</v>
      </c>
      <c r="AP341" s="371">
        <f t="shared" si="43"/>
        <v>0</v>
      </c>
      <c r="AQ341" s="372" t="str">
        <f t="shared" si="44"/>
        <v>N</v>
      </c>
      <c r="AR341" s="337">
        <v>235</v>
      </c>
      <c r="AS341" s="334"/>
      <c r="AT341" s="334"/>
      <c r="AU341" s="334"/>
      <c r="AV341" s="334"/>
      <c r="AW341" s="321"/>
    </row>
    <row r="342" spans="19:49">
      <c r="S342" s="321"/>
      <c r="T342" s="334"/>
      <c r="U342" s="365"/>
      <c r="V342" s="366">
        <f t="shared" si="37"/>
        <v>235.5</v>
      </c>
      <c r="W342" s="367">
        <f t="shared" si="45"/>
        <v>117.76371666767855</v>
      </c>
      <c r="X342" s="378"/>
      <c r="Y342" s="369"/>
      <c r="Z342" s="371">
        <f t="shared" si="38"/>
        <v>8.7416100000000004E-3</v>
      </c>
      <c r="AA342" s="371">
        <f t="shared" si="39"/>
        <v>0</v>
      </c>
      <c r="AB342" s="372" t="str">
        <f t="shared" si="40"/>
        <v>N</v>
      </c>
      <c r="AC342" s="337">
        <v>236</v>
      </c>
      <c r="AD342" s="334"/>
      <c r="AE342" s="334"/>
      <c r="AF342" s="334"/>
      <c r="AG342" s="334"/>
      <c r="AH342" s="333"/>
      <c r="AI342" s="334"/>
      <c r="AJ342" s="365"/>
      <c r="AK342" s="366">
        <f t="shared" si="41"/>
        <v>235.5</v>
      </c>
      <c r="AL342" s="367">
        <f t="shared" si="46"/>
        <v>274.98019440698897</v>
      </c>
      <c r="AM342" s="378"/>
      <c r="AN342" s="369"/>
      <c r="AO342" s="371">
        <f t="shared" si="42"/>
        <v>1.3451940000000001E-2</v>
      </c>
      <c r="AP342" s="371">
        <f t="shared" si="43"/>
        <v>0</v>
      </c>
      <c r="AQ342" s="372" t="str">
        <f t="shared" si="44"/>
        <v>N</v>
      </c>
      <c r="AR342" s="337">
        <v>236</v>
      </c>
      <c r="AS342" s="334"/>
      <c r="AT342" s="334"/>
      <c r="AU342" s="334"/>
      <c r="AV342" s="334"/>
      <c r="AW342" s="321"/>
    </row>
    <row r="343" spans="19:49">
      <c r="S343" s="321"/>
      <c r="T343" s="334"/>
      <c r="U343" s="365"/>
      <c r="V343" s="366">
        <f t="shared" si="37"/>
        <v>236.5</v>
      </c>
      <c r="W343" s="367">
        <f t="shared" si="45"/>
        <v>116.73427207199055</v>
      </c>
      <c r="X343" s="378"/>
      <c r="Y343" s="369"/>
      <c r="Z343" s="371">
        <f t="shared" si="38"/>
        <v>8.7416100000000004E-3</v>
      </c>
      <c r="AA343" s="371">
        <f t="shared" si="39"/>
        <v>0</v>
      </c>
      <c r="AB343" s="372" t="str">
        <f t="shared" si="40"/>
        <v>N</v>
      </c>
      <c r="AC343" s="337">
        <v>237</v>
      </c>
      <c r="AD343" s="334"/>
      <c r="AE343" s="334"/>
      <c r="AF343" s="334"/>
      <c r="AG343" s="334"/>
      <c r="AH343" s="333"/>
      <c r="AI343" s="334"/>
      <c r="AJ343" s="365"/>
      <c r="AK343" s="366">
        <f t="shared" si="41"/>
        <v>236.5</v>
      </c>
      <c r="AL343" s="367">
        <f t="shared" si="46"/>
        <v>271.28117540251276</v>
      </c>
      <c r="AM343" s="378"/>
      <c r="AN343" s="369"/>
      <c r="AO343" s="371">
        <f t="shared" si="42"/>
        <v>1.3451940000000001E-2</v>
      </c>
      <c r="AP343" s="371">
        <f t="shared" si="43"/>
        <v>0</v>
      </c>
      <c r="AQ343" s="372" t="str">
        <f t="shared" si="44"/>
        <v>N</v>
      </c>
      <c r="AR343" s="337">
        <v>237</v>
      </c>
      <c r="AS343" s="334"/>
      <c r="AT343" s="334"/>
      <c r="AU343" s="334"/>
      <c r="AV343" s="334"/>
      <c r="AW343" s="321"/>
    </row>
    <row r="344" spans="19:49">
      <c r="S344" s="321"/>
      <c r="T344" s="334"/>
      <c r="U344" s="365"/>
      <c r="V344" s="366">
        <f t="shared" si="37"/>
        <v>237.5</v>
      </c>
      <c r="W344" s="367">
        <f t="shared" si="45"/>
        <v>115.71382648045751</v>
      </c>
      <c r="X344" s="378"/>
      <c r="Y344" s="369"/>
      <c r="Z344" s="371">
        <f t="shared" si="38"/>
        <v>8.7416100000000004E-3</v>
      </c>
      <c r="AA344" s="371">
        <f t="shared" si="39"/>
        <v>0</v>
      </c>
      <c r="AB344" s="372" t="str">
        <f t="shared" si="40"/>
        <v>N</v>
      </c>
      <c r="AC344" s="337">
        <v>238</v>
      </c>
      <c r="AD344" s="334"/>
      <c r="AE344" s="334"/>
      <c r="AF344" s="334"/>
      <c r="AG344" s="334"/>
      <c r="AH344" s="333"/>
      <c r="AI344" s="334"/>
      <c r="AJ344" s="365"/>
      <c r="AK344" s="366">
        <f t="shared" si="41"/>
        <v>237.5</v>
      </c>
      <c r="AL344" s="367">
        <f t="shared" si="46"/>
        <v>267.63191540568073</v>
      </c>
      <c r="AM344" s="378"/>
      <c r="AN344" s="369"/>
      <c r="AO344" s="371">
        <f t="shared" si="42"/>
        <v>1.3451940000000001E-2</v>
      </c>
      <c r="AP344" s="371">
        <f t="shared" si="43"/>
        <v>0</v>
      </c>
      <c r="AQ344" s="372" t="str">
        <f t="shared" si="44"/>
        <v>N</v>
      </c>
      <c r="AR344" s="337">
        <v>238</v>
      </c>
      <c r="AS344" s="334"/>
      <c r="AT344" s="334"/>
      <c r="AU344" s="334"/>
      <c r="AV344" s="334"/>
      <c r="AW344" s="321"/>
    </row>
    <row r="345" spans="19:49">
      <c r="S345" s="321"/>
      <c r="T345" s="334"/>
      <c r="U345" s="365"/>
      <c r="V345" s="366">
        <f t="shared" si="37"/>
        <v>238.5</v>
      </c>
      <c r="W345" s="367">
        <f t="shared" si="45"/>
        <v>114.70230122728604</v>
      </c>
      <c r="X345" s="378"/>
      <c r="Y345" s="369"/>
      <c r="Z345" s="371">
        <f t="shared" si="38"/>
        <v>8.7416100000000004E-3</v>
      </c>
      <c r="AA345" s="371">
        <f t="shared" si="39"/>
        <v>0</v>
      </c>
      <c r="AB345" s="372" t="str">
        <f t="shared" si="40"/>
        <v>N</v>
      </c>
      <c r="AC345" s="337">
        <v>239</v>
      </c>
      <c r="AD345" s="334"/>
      <c r="AE345" s="334"/>
      <c r="AF345" s="334"/>
      <c r="AG345" s="334"/>
      <c r="AH345" s="333"/>
      <c r="AI345" s="334"/>
      <c r="AJ345" s="365"/>
      <c r="AK345" s="366">
        <f t="shared" si="41"/>
        <v>238.5</v>
      </c>
      <c r="AL345" s="367">
        <f t="shared" si="46"/>
        <v>264.03174506095843</v>
      </c>
      <c r="AM345" s="378"/>
      <c r="AN345" s="369"/>
      <c r="AO345" s="371">
        <f t="shared" si="42"/>
        <v>1.3451940000000001E-2</v>
      </c>
      <c r="AP345" s="371">
        <f t="shared" si="43"/>
        <v>0</v>
      </c>
      <c r="AQ345" s="372" t="str">
        <f t="shared" si="44"/>
        <v>N</v>
      </c>
      <c r="AR345" s="337">
        <v>239</v>
      </c>
      <c r="AS345" s="334"/>
      <c r="AT345" s="334"/>
      <c r="AU345" s="334"/>
      <c r="AV345" s="334"/>
      <c r="AW345" s="321"/>
    </row>
    <row r="346" spans="19:49" ht="15.05" thickBot="1">
      <c r="S346" s="321"/>
      <c r="T346" s="334"/>
      <c r="U346" s="373">
        <f>1+U334</f>
        <v>20</v>
      </c>
      <c r="V346" s="374">
        <f t="shared" si="37"/>
        <v>239.5</v>
      </c>
      <c r="W346" s="367">
        <f t="shared" si="45"/>
        <v>113.6996183343487</v>
      </c>
      <c r="X346" s="375">
        <f>SUM(W335:W346)</f>
        <v>1432.5569596479829</v>
      </c>
      <c r="Y346" s="376">
        <f>-(X346/X334-1)</f>
        <v>9.9999999999999867E-2</v>
      </c>
      <c r="Z346" s="371">
        <f t="shared" si="38"/>
        <v>8.7416100000000004E-3</v>
      </c>
      <c r="AA346" s="371">
        <f t="shared" si="39"/>
        <v>0</v>
      </c>
      <c r="AB346" s="372" t="str">
        <f t="shared" si="40"/>
        <v>N</v>
      </c>
      <c r="AC346" s="337">
        <v>240</v>
      </c>
      <c r="AD346" s="334"/>
      <c r="AE346" s="334"/>
      <c r="AF346" s="334"/>
      <c r="AG346" s="334"/>
      <c r="AH346" s="333"/>
      <c r="AI346" s="334"/>
      <c r="AJ346" s="373">
        <f>1+AJ334</f>
        <v>20</v>
      </c>
      <c r="AK346" s="374">
        <f t="shared" si="41"/>
        <v>239.5</v>
      </c>
      <c r="AL346" s="367">
        <f t="shared" si="46"/>
        <v>260.48000401694719</v>
      </c>
      <c r="AM346" s="375">
        <f>SUM(AL335:AL346)</f>
        <v>3371.1635232631511</v>
      </c>
      <c r="AN346" s="376">
        <f>-(AM346/AM334-1)</f>
        <v>0.14999999999999991</v>
      </c>
      <c r="AO346" s="371">
        <f t="shared" si="42"/>
        <v>1.3451940000000001E-2</v>
      </c>
      <c r="AP346" s="371">
        <f t="shared" si="43"/>
        <v>0</v>
      </c>
      <c r="AQ346" s="372" t="str">
        <f t="shared" si="44"/>
        <v>N</v>
      </c>
      <c r="AR346" s="337">
        <v>240</v>
      </c>
      <c r="AS346" s="334"/>
      <c r="AT346" s="334"/>
      <c r="AU346" s="334"/>
      <c r="AV346" s="334"/>
      <c r="AW346" s="321"/>
    </row>
    <row r="347" spans="19:49">
      <c r="S347" s="321"/>
      <c r="T347" s="334"/>
      <c r="U347" s="365"/>
      <c r="V347" s="366">
        <f t="shared" si="37"/>
        <v>240.5</v>
      </c>
      <c r="W347" s="377">
        <f t="shared" si="45"/>
        <v>112.70570050517233</v>
      </c>
      <c r="X347" s="378"/>
      <c r="Y347" s="369"/>
      <c r="Z347" s="371">
        <f t="shared" si="38"/>
        <v>8.7416100000000004E-3</v>
      </c>
      <c r="AA347" s="371">
        <f t="shared" si="39"/>
        <v>0</v>
      </c>
      <c r="AB347" s="372" t="str">
        <f t="shared" si="40"/>
        <v>N</v>
      </c>
      <c r="AC347" s="337">
        <v>241</v>
      </c>
      <c r="AD347" s="334"/>
      <c r="AE347" s="334"/>
      <c r="AF347" s="334"/>
      <c r="AG347" s="334"/>
      <c r="AH347" s="333"/>
      <c r="AI347" s="334"/>
      <c r="AJ347" s="365"/>
      <c r="AK347" s="366">
        <f t="shared" si="41"/>
        <v>240.5</v>
      </c>
      <c r="AL347" s="377">
        <f t="shared" si="46"/>
        <v>256.9760408052598</v>
      </c>
      <c r="AM347" s="378"/>
      <c r="AN347" s="369"/>
      <c r="AO347" s="371">
        <f t="shared" si="42"/>
        <v>1.3451940000000001E-2</v>
      </c>
      <c r="AP347" s="371">
        <f t="shared" si="43"/>
        <v>0</v>
      </c>
      <c r="AQ347" s="372" t="str">
        <f t="shared" si="44"/>
        <v>N</v>
      </c>
      <c r="AR347" s="337">
        <v>241</v>
      </c>
      <c r="AS347" s="334"/>
      <c r="AT347" s="334"/>
      <c r="AU347" s="334"/>
      <c r="AV347" s="334"/>
      <c r="AW347" s="321"/>
    </row>
    <row r="348" spans="19:49">
      <c r="S348" s="321"/>
      <c r="T348" s="334"/>
      <c r="U348" s="365"/>
      <c r="V348" s="366">
        <f t="shared" si="37"/>
        <v>241.5</v>
      </c>
      <c r="W348" s="367">
        <f t="shared" si="45"/>
        <v>111.72047111897953</v>
      </c>
      <c r="X348" s="378"/>
      <c r="Y348" s="369"/>
      <c r="Z348" s="371">
        <f t="shared" si="38"/>
        <v>8.7416100000000004E-3</v>
      </c>
      <c r="AA348" s="371">
        <f t="shared" si="39"/>
        <v>0</v>
      </c>
      <c r="AB348" s="372" t="str">
        <f t="shared" si="40"/>
        <v>N</v>
      </c>
      <c r="AC348" s="337">
        <v>242</v>
      </c>
      <c r="AD348" s="334"/>
      <c r="AE348" s="334"/>
      <c r="AF348" s="334"/>
      <c r="AG348" s="334"/>
      <c r="AH348" s="333"/>
      <c r="AI348" s="334"/>
      <c r="AJ348" s="365"/>
      <c r="AK348" s="366">
        <f t="shared" si="41"/>
        <v>241.5</v>
      </c>
      <c r="AL348" s="367">
        <f t="shared" si="46"/>
        <v>253.51921272102751</v>
      </c>
      <c r="AM348" s="378"/>
      <c r="AN348" s="369"/>
      <c r="AO348" s="371">
        <f t="shared" si="42"/>
        <v>1.3451940000000001E-2</v>
      </c>
      <c r="AP348" s="371">
        <f t="shared" si="43"/>
        <v>0</v>
      </c>
      <c r="AQ348" s="372" t="str">
        <f t="shared" si="44"/>
        <v>N</v>
      </c>
      <c r="AR348" s="337">
        <v>242</v>
      </c>
      <c r="AS348" s="334"/>
      <c r="AT348" s="334"/>
      <c r="AU348" s="334"/>
      <c r="AV348" s="334"/>
      <c r="AW348" s="321"/>
    </row>
    <row r="349" spans="19:49">
      <c r="S349" s="321"/>
      <c r="T349" s="334"/>
      <c r="U349" s="365"/>
      <c r="V349" s="366">
        <f t="shared" si="37"/>
        <v>242.5</v>
      </c>
      <c r="W349" s="367">
        <f t="shared" si="45"/>
        <v>110.74385422478198</v>
      </c>
      <c r="X349" s="378"/>
      <c r="Y349" s="369"/>
      <c r="Z349" s="371">
        <f t="shared" si="38"/>
        <v>8.7416100000000004E-3</v>
      </c>
      <c r="AA349" s="371">
        <f t="shared" si="39"/>
        <v>0</v>
      </c>
      <c r="AB349" s="372" t="str">
        <f t="shared" si="40"/>
        <v>N</v>
      </c>
      <c r="AC349" s="337">
        <v>243</v>
      </c>
      <c r="AD349" s="334"/>
      <c r="AE349" s="334"/>
      <c r="AF349" s="334"/>
      <c r="AG349" s="334"/>
      <c r="AH349" s="333"/>
      <c r="AI349" s="334"/>
      <c r="AJ349" s="365"/>
      <c r="AK349" s="366">
        <f t="shared" si="41"/>
        <v>242.5</v>
      </c>
      <c r="AL349" s="367">
        <f t="shared" si="46"/>
        <v>250.10888570501359</v>
      </c>
      <c r="AM349" s="378"/>
      <c r="AN349" s="369"/>
      <c r="AO349" s="371">
        <f t="shared" si="42"/>
        <v>1.3451940000000001E-2</v>
      </c>
      <c r="AP349" s="371">
        <f t="shared" si="43"/>
        <v>0</v>
      </c>
      <c r="AQ349" s="372" t="str">
        <f t="shared" si="44"/>
        <v>N</v>
      </c>
      <c r="AR349" s="337">
        <v>243</v>
      </c>
      <c r="AS349" s="334"/>
      <c r="AT349" s="334"/>
      <c r="AU349" s="334"/>
      <c r="AV349" s="334"/>
      <c r="AW349" s="321"/>
    </row>
    <row r="350" spans="19:49">
      <c r="S350" s="321"/>
      <c r="T350" s="334"/>
      <c r="U350" s="365"/>
      <c r="V350" s="366">
        <f t="shared" si="37"/>
        <v>243.5</v>
      </c>
      <c r="W350" s="367">
        <f t="shared" si="45"/>
        <v>109.7757745355253</v>
      </c>
      <c r="X350" s="378"/>
      <c r="Y350" s="369"/>
      <c r="Z350" s="371">
        <f t="shared" si="38"/>
        <v>8.7416100000000004E-3</v>
      </c>
      <c r="AA350" s="371">
        <f t="shared" si="39"/>
        <v>0</v>
      </c>
      <c r="AB350" s="372" t="str">
        <f t="shared" si="40"/>
        <v>N</v>
      </c>
      <c r="AC350" s="337">
        <v>244</v>
      </c>
      <c r="AD350" s="334"/>
      <c r="AE350" s="334"/>
      <c r="AF350" s="334"/>
      <c r="AG350" s="334"/>
      <c r="AH350" s="333"/>
      <c r="AI350" s="334"/>
      <c r="AJ350" s="365"/>
      <c r="AK350" s="366">
        <f t="shared" si="41"/>
        <v>243.5</v>
      </c>
      <c r="AL350" s="367">
        <f t="shared" si="46"/>
        <v>246.74443422731221</v>
      </c>
      <c r="AM350" s="378"/>
      <c r="AN350" s="369"/>
      <c r="AO350" s="371">
        <f t="shared" si="42"/>
        <v>1.3451940000000001E-2</v>
      </c>
      <c r="AP350" s="371">
        <f t="shared" si="43"/>
        <v>0</v>
      </c>
      <c r="AQ350" s="372" t="str">
        <f t="shared" si="44"/>
        <v>N</v>
      </c>
      <c r="AR350" s="337">
        <v>244</v>
      </c>
      <c r="AS350" s="334"/>
      <c r="AT350" s="334"/>
      <c r="AU350" s="334"/>
      <c r="AV350" s="334"/>
      <c r="AW350" s="321"/>
    </row>
    <row r="351" spans="19:49">
      <c r="S351" s="321"/>
      <c r="T351" s="334"/>
      <c r="U351" s="365"/>
      <c r="V351" s="366">
        <f t="shared" si="37"/>
        <v>244.5</v>
      </c>
      <c r="W351" s="367">
        <f t="shared" si="45"/>
        <v>108.81615742228524</v>
      </c>
      <c r="X351" s="378"/>
      <c r="Y351" s="369"/>
      <c r="Z351" s="371">
        <f t="shared" si="38"/>
        <v>8.7416100000000004E-3</v>
      </c>
      <c r="AA351" s="371">
        <f t="shared" si="39"/>
        <v>0</v>
      </c>
      <c r="AB351" s="372" t="str">
        <f t="shared" si="40"/>
        <v>N</v>
      </c>
      <c r="AC351" s="337">
        <v>245</v>
      </c>
      <c r="AD351" s="334"/>
      <c r="AE351" s="334"/>
      <c r="AF351" s="334"/>
      <c r="AG351" s="334"/>
      <c r="AH351" s="333"/>
      <c r="AI351" s="334"/>
      <c r="AJ351" s="365"/>
      <c r="AK351" s="366">
        <f t="shared" si="41"/>
        <v>244.5</v>
      </c>
      <c r="AL351" s="367">
        <f t="shared" si="46"/>
        <v>243.42524117261277</v>
      </c>
      <c r="AM351" s="378"/>
      <c r="AN351" s="369"/>
      <c r="AO351" s="371">
        <f t="shared" si="42"/>
        <v>1.3451940000000001E-2</v>
      </c>
      <c r="AP351" s="371">
        <f t="shared" si="43"/>
        <v>0</v>
      </c>
      <c r="AQ351" s="372" t="str">
        <f t="shared" si="44"/>
        <v>N</v>
      </c>
      <c r="AR351" s="337">
        <v>245</v>
      </c>
      <c r="AS351" s="334"/>
      <c r="AT351" s="334"/>
      <c r="AU351" s="334"/>
      <c r="AV351" s="334"/>
      <c r="AW351" s="321"/>
    </row>
    <row r="352" spans="19:49">
      <c r="S352" s="321"/>
      <c r="T352" s="334"/>
      <c r="U352" s="365"/>
      <c r="V352" s="366">
        <f t="shared" si="37"/>
        <v>245.5</v>
      </c>
      <c r="W352" s="367">
        <f t="shared" si="45"/>
        <v>107.86492890851457</v>
      </c>
      <c r="X352" s="378"/>
      <c r="Y352" s="369"/>
      <c r="Z352" s="371">
        <f t="shared" si="38"/>
        <v>8.7416100000000004E-3</v>
      </c>
      <c r="AA352" s="371">
        <f t="shared" si="39"/>
        <v>0</v>
      </c>
      <c r="AB352" s="372" t="str">
        <f t="shared" si="40"/>
        <v>N</v>
      </c>
      <c r="AC352" s="337">
        <v>246</v>
      </c>
      <c r="AD352" s="334"/>
      <c r="AE352" s="334"/>
      <c r="AF352" s="334"/>
      <c r="AG352" s="334"/>
      <c r="AH352" s="333"/>
      <c r="AI352" s="334"/>
      <c r="AJ352" s="365"/>
      <c r="AK352" s="366">
        <f t="shared" si="41"/>
        <v>245.5</v>
      </c>
      <c r="AL352" s="367">
        <f t="shared" si="46"/>
        <v>240.15069772700738</v>
      </c>
      <c r="AM352" s="378"/>
      <c r="AN352" s="369"/>
      <c r="AO352" s="371">
        <f t="shared" si="42"/>
        <v>1.3451940000000001E-2</v>
      </c>
      <c r="AP352" s="371">
        <f t="shared" si="43"/>
        <v>0</v>
      </c>
      <c r="AQ352" s="372" t="str">
        <f t="shared" si="44"/>
        <v>N</v>
      </c>
      <c r="AR352" s="337">
        <v>246</v>
      </c>
      <c r="AS352" s="334"/>
      <c r="AT352" s="334"/>
      <c r="AU352" s="334"/>
      <c r="AV352" s="334"/>
      <c r="AW352" s="321"/>
    </row>
    <row r="353" spans="19:49">
      <c r="S353" s="321"/>
      <c r="T353" s="334"/>
      <c r="U353" s="365"/>
      <c r="V353" s="366">
        <f t="shared" si="37"/>
        <v>246.5</v>
      </c>
      <c r="W353" s="367">
        <f t="shared" si="45"/>
        <v>106.92201566434036</v>
      </c>
      <c r="X353" s="378"/>
      <c r="Y353" s="369"/>
      <c r="Z353" s="371">
        <f t="shared" si="38"/>
        <v>8.7416100000000004E-3</v>
      </c>
      <c r="AA353" s="371">
        <f t="shared" si="39"/>
        <v>0</v>
      </c>
      <c r="AB353" s="372" t="str">
        <f t="shared" si="40"/>
        <v>N</v>
      </c>
      <c r="AC353" s="337">
        <v>247</v>
      </c>
      <c r="AD353" s="334"/>
      <c r="AE353" s="334"/>
      <c r="AF353" s="334"/>
      <c r="AG353" s="334"/>
      <c r="AH353" s="333"/>
      <c r="AI353" s="334"/>
      <c r="AJ353" s="365"/>
      <c r="AK353" s="366">
        <f t="shared" si="41"/>
        <v>246.5</v>
      </c>
      <c r="AL353" s="367">
        <f t="shared" si="46"/>
        <v>236.92020326632036</v>
      </c>
      <c r="AM353" s="378"/>
      <c r="AN353" s="369"/>
      <c r="AO353" s="371">
        <f t="shared" si="42"/>
        <v>1.3451940000000001E-2</v>
      </c>
      <c r="AP353" s="371">
        <f t="shared" si="43"/>
        <v>0</v>
      </c>
      <c r="AQ353" s="372" t="str">
        <f t="shared" si="44"/>
        <v>N</v>
      </c>
      <c r="AR353" s="337">
        <v>247</v>
      </c>
      <c r="AS353" s="334"/>
      <c r="AT353" s="334"/>
      <c r="AU353" s="334"/>
      <c r="AV353" s="334"/>
      <c r="AW353" s="321"/>
    </row>
    <row r="354" spans="19:49">
      <c r="S354" s="321"/>
      <c r="T354" s="334"/>
      <c r="U354" s="365"/>
      <c r="V354" s="366">
        <f t="shared" si="37"/>
        <v>247.5</v>
      </c>
      <c r="W354" s="367">
        <f t="shared" si="45"/>
        <v>105.98734500091068</v>
      </c>
      <c r="X354" s="378"/>
      <c r="Y354" s="369"/>
      <c r="Z354" s="371">
        <f t="shared" si="38"/>
        <v>8.7416100000000004E-3</v>
      </c>
      <c r="AA354" s="371">
        <f t="shared" si="39"/>
        <v>0</v>
      </c>
      <c r="AB354" s="372" t="str">
        <f t="shared" si="40"/>
        <v>N</v>
      </c>
      <c r="AC354" s="337">
        <v>248</v>
      </c>
      <c r="AD354" s="334"/>
      <c r="AE354" s="334"/>
      <c r="AF354" s="334"/>
      <c r="AG354" s="334"/>
      <c r="AH354" s="333"/>
      <c r="AI354" s="334"/>
      <c r="AJ354" s="365"/>
      <c r="AK354" s="366">
        <f t="shared" si="41"/>
        <v>247.5</v>
      </c>
      <c r="AL354" s="367">
        <f t="shared" si="46"/>
        <v>233.73316524594065</v>
      </c>
      <c r="AM354" s="378"/>
      <c r="AN354" s="369"/>
      <c r="AO354" s="371">
        <f t="shared" si="42"/>
        <v>1.3451940000000001E-2</v>
      </c>
      <c r="AP354" s="371">
        <f t="shared" si="43"/>
        <v>0</v>
      </c>
      <c r="AQ354" s="372" t="str">
        <f t="shared" si="44"/>
        <v>N</v>
      </c>
      <c r="AR354" s="337">
        <v>248</v>
      </c>
      <c r="AS354" s="334"/>
      <c r="AT354" s="334"/>
      <c r="AU354" s="334"/>
      <c r="AV354" s="334"/>
      <c r="AW354" s="321"/>
    </row>
    <row r="355" spans="19:49">
      <c r="S355" s="321"/>
      <c r="T355" s="334"/>
      <c r="U355" s="365"/>
      <c r="V355" s="366">
        <f t="shared" si="37"/>
        <v>248.5</v>
      </c>
      <c r="W355" s="367">
        <f t="shared" si="45"/>
        <v>105.06084486479151</v>
      </c>
      <c r="X355" s="378"/>
      <c r="Y355" s="369"/>
      <c r="Z355" s="371">
        <f t="shared" si="38"/>
        <v>8.7416100000000004E-3</v>
      </c>
      <c r="AA355" s="371">
        <f t="shared" si="39"/>
        <v>0</v>
      </c>
      <c r="AB355" s="372" t="str">
        <f t="shared" si="40"/>
        <v>N</v>
      </c>
      <c r="AC355" s="337">
        <v>249</v>
      </c>
      <c r="AD355" s="334"/>
      <c r="AE355" s="334"/>
      <c r="AF355" s="334"/>
      <c r="AG355" s="334"/>
      <c r="AH355" s="333"/>
      <c r="AI355" s="334"/>
      <c r="AJ355" s="365"/>
      <c r="AK355" s="366">
        <f t="shared" si="41"/>
        <v>248.5</v>
      </c>
      <c r="AL355" s="367">
        <f t="shared" si="46"/>
        <v>230.58899909213579</v>
      </c>
      <c r="AM355" s="378"/>
      <c r="AN355" s="369"/>
      <c r="AO355" s="371">
        <f t="shared" si="42"/>
        <v>1.3451940000000001E-2</v>
      </c>
      <c r="AP355" s="371">
        <f t="shared" si="43"/>
        <v>0</v>
      </c>
      <c r="AQ355" s="372" t="str">
        <f t="shared" si="44"/>
        <v>N</v>
      </c>
      <c r="AR355" s="337">
        <v>249</v>
      </c>
      <c r="AS355" s="334"/>
      <c r="AT355" s="334"/>
      <c r="AU355" s="334"/>
      <c r="AV355" s="334"/>
      <c r="AW355" s="321"/>
    </row>
    <row r="356" spans="19:49">
      <c r="S356" s="321"/>
      <c r="T356" s="334"/>
      <c r="U356" s="365"/>
      <c r="V356" s="366">
        <f t="shared" si="37"/>
        <v>249.5</v>
      </c>
      <c r="W356" s="367">
        <f t="shared" si="45"/>
        <v>104.14244383241176</v>
      </c>
      <c r="X356" s="378"/>
      <c r="Y356" s="369"/>
      <c r="Z356" s="371">
        <f t="shared" si="38"/>
        <v>8.7416100000000004E-3</v>
      </c>
      <c r="AA356" s="371">
        <f t="shared" si="39"/>
        <v>0</v>
      </c>
      <c r="AB356" s="372" t="str">
        <f t="shared" si="40"/>
        <v>N</v>
      </c>
      <c r="AC356" s="337">
        <v>250</v>
      </c>
      <c r="AD356" s="334"/>
      <c r="AE356" s="334"/>
      <c r="AF356" s="334"/>
      <c r="AG356" s="334"/>
      <c r="AH356" s="333"/>
      <c r="AI356" s="334"/>
      <c r="AJ356" s="365"/>
      <c r="AK356" s="366">
        <f t="shared" si="41"/>
        <v>249.5</v>
      </c>
      <c r="AL356" s="367">
        <f t="shared" si="46"/>
        <v>227.48712809482853</v>
      </c>
      <c r="AM356" s="378"/>
      <c r="AN356" s="369"/>
      <c r="AO356" s="371">
        <f t="shared" si="42"/>
        <v>1.3451940000000001E-2</v>
      </c>
      <c r="AP356" s="371">
        <f t="shared" si="43"/>
        <v>0</v>
      </c>
      <c r="AQ356" s="372" t="str">
        <f t="shared" si="44"/>
        <v>N</v>
      </c>
      <c r="AR356" s="337">
        <v>250</v>
      </c>
      <c r="AS356" s="334"/>
      <c r="AT356" s="334"/>
      <c r="AU356" s="334"/>
      <c r="AV356" s="334"/>
      <c r="AW356" s="321"/>
    </row>
    <row r="357" spans="19:49">
      <c r="S357" s="321"/>
      <c r="T357" s="334"/>
      <c r="U357" s="365"/>
      <c r="V357" s="366">
        <f t="shared" si="37"/>
        <v>250.5</v>
      </c>
      <c r="W357" s="367">
        <f t="shared" si="45"/>
        <v>103.23207110455746</v>
      </c>
      <c r="X357" s="378"/>
      <c r="Y357" s="369"/>
      <c r="Z357" s="371">
        <f t="shared" si="38"/>
        <v>8.7416100000000004E-3</v>
      </c>
      <c r="AA357" s="371">
        <f t="shared" si="39"/>
        <v>0</v>
      </c>
      <c r="AB357" s="372" t="str">
        <f t="shared" si="40"/>
        <v>N</v>
      </c>
      <c r="AC357" s="337">
        <v>251</v>
      </c>
      <c r="AD357" s="334"/>
      <c r="AE357" s="334"/>
      <c r="AF357" s="334"/>
      <c r="AG357" s="334"/>
      <c r="AH357" s="333"/>
      <c r="AI357" s="334"/>
      <c r="AJ357" s="365"/>
      <c r="AK357" s="366">
        <f t="shared" si="41"/>
        <v>250.5</v>
      </c>
      <c r="AL357" s="367">
        <f t="shared" si="46"/>
        <v>224.42698330181469</v>
      </c>
      <c r="AM357" s="378"/>
      <c r="AN357" s="369"/>
      <c r="AO357" s="371">
        <f t="shared" si="42"/>
        <v>1.3451940000000001E-2</v>
      </c>
      <c r="AP357" s="371">
        <f t="shared" si="43"/>
        <v>0</v>
      </c>
      <c r="AQ357" s="372" t="str">
        <f t="shared" si="44"/>
        <v>N</v>
      </c>
      <c r="AR357" s="337">
        <v>251</v>
      </c>
      <c r="AS357" s="334"/>
      <c r="AT357" s="334"/>
      <c r="AU357" s="334"/>
      <c r="AV357" s="334"/>
      <c r="AW357" s="321"/>
    </row>
    <row r="358" spans="19:49" ht="15.05" thickBot="1">
      <c r="S358" s="321"/>
      <c r="T358" s="334"/>
      <c r="U358" s="373">
        <f>1+U346</f>
        <v>21</v>
      </c>
      <c r="V358" s="374">
        <f t="shared" si="37"/>
        <v>251.5</v>
      </c>
      <c r="W358" s="367">
        <f t="shared" si="45"/>
        <v>102.32965650091383</v>
      </c>
      <c r="X358" s="375">
        <f>SUM(W347:W358)</f>
        <v>1289.3012636831847</v>
      </c>
      <c r="Y358" s="376">
        <f>-(X358/X346-1)</f>
        <v>9.9999999999999867E-2</v>
      </c>
      <c r="Z358" s="371">
        <f t="shared" si="38"/>
        <v>8.7416100000000004E-3</v>
      </c>
      <c r="AA358" s="371">
        <f t="shared" si="39"/>
        <v>0</v>
      </c>
      <c r="AB358" s="372" t="str">
        <f t="shared" si="40"/>
        <v>N</v>
      </c>
      <c r="AC358" s="337">
        <v>252</v>
      </c>
      <c r="AD358" s="334"/>
      <c r="AE358" s="334"/>
      <c r="AF358" s="334"/>
      <c r="AG358" s="334"/>
      <c r="AH358" s="333"/>
      <c r="AI358" s="334"/>
      <c r="AJ358" s="373">
        <f>1+AJ346</f>
        <v>21</v>
      </c>
      <c r="AK358" s="374">
        <f t="shared" si="41"/>
        <v>251.5</v>
      </c>
      <c r="AL358" s="367">
        <f t="shared" si="46"/>
        <v>221.40800341440502</v>
      </c>
      <c r="AM358" s="375">
        <f>SUM(AL347:AL358)</f>
        <v>2865.4889947736783</v>
      </c>
      <c r="AN358" s="376">
        <f>-(AM358/AM346-1)</f>
        <v>0.15000000000000002</v>
      </c>
      <c r="AO358" s="371">
        <f t="shared" si="42"/>
        <v>1.3451940000000001E-2</v>
      </c>
      <c r="AP358" s="371">
        <f t="shared" si="43"/>
        <v>0</v>
      </c>
      <c r="AQ358" s="372" t="str">
        <f t="shared" si="44"/>
        <v>N</v>
      </c>
      <c r="AR358" s="337">
        <v>252</v>
      </c>
      <c r="AS358" s="334"/>
      <c r="AT358" s="334"/>
      <c r="AU358" s="334"/>
      <c r="AV358" s="334"/>
      <c r="AW358" s="321"/>
    </row>
    <row r="359" spans="19:49">
      <c r="S359" s="321"/>
      <c r="T359" s="334"/>
      <c r="U359" s="365"/>
      <c r="V359" s="366">
        <f t="shared" si="37"/>
        <v>252.5</v>
      </c>
      <c r="W359" s="377">
        <f t="shared" si="45"/>
        <v>101.43513045465511</v>
      </c>
      <c r="X359" s="378"/>
      <c r="Y359" s="369"/>
      <c r="Z359" s="371">
        <f t="shared" si="38"/>
        <v>8.7416100000000004E-3</v>
      </c>
      <c r="AA359" s="371">
        <f t="shared" si="39"/>
        <v>0</v>
      </c>
      <c r="AB359" s="372" t="str">
        <f t="shared" si="40"/>
        <v>N</v>
      </c>
      <c r="AC359" s="337">
        <v>253</v>
      </c>
      <c r="AD359" s="334"/>
      <c r="AE359" s="334"/>
      <c r="AF359" s="334"/>
      <c r="AG359" s="334"/>
      <c r="AH359" s="333"/>
      <c r="AI359" s="334"/>
      <c r="AJ359" s="365"/>
      <c r="AK359" s="366">
        <f t="shared" si="41"/>
        <v>252.5</v>
      </c>
      <c r="AL359" s="377">
        <f t="shared" si="46"/>
        <v>218.42963468447081</v>
      </c>
      <c r="AM359" s="378"/>
      <c r="AN359" s="369"/>
      <c r="AO359" s="371">
        <f t="shared" si="42"/>
        <v>1.3451940000000001E-2</v>
      </c>
      <c r="AP359" s="371">
        <f t="shared" si="43"/>
        <v>0</v>
      </c>
      <c r="AQ359" s="372" t="str">
        <f t="shared" si="44"/>
        <v>N</v>
      </c>
      <c r="AR359" s="337">
        <v>253</v>
      </c>
      <c r="AS359" s="334"/>
      <c r="AT359" s="334"/>
      <c r="AU359" s="334"/>
      <c r="AV359" s="334"/>
      <c r="AW359" s="321"/>
    </row>
    <row r="360" spans="19:49">
      <c r="S360" s="321"/>
      <c r="T360" s="334"/>
      <c r="U360" s="365"/>
      <c r="V360" s="366">
        <f t="shared" si="37"/>
        <v>253.5</v>
      </c>
      <c r="W360" s="367">
        <f t="shared" si="45"/>
        <v>100.54842400708158</v>
      </c>
      <c r="X360" s="378"/>
      <c r="Y360" s="369"/>
      <c r="Z360" s="371">
        <f t="shared" si="38"/>
        <v>8.7416100000000004E-3</v>
      </c>
      <c r="AA360" s="371">
        <f t="shared" si="39"/>
        <v>0</v>
      </c>
      <c r="AB360" s="372" t="str">
        <f t="shared" si="40"/>
        <v>N</v>
      </c>
      <c r="AC360" s="337">
        <v>254</v>
      </c>
      <c r="AD360" s="334"/>
      <c r="AE360" s="334"/>
      <c r="AF360" s="334"/>
      <c r="AG360" s="334"/>
      <c r="AH360" s="333"/>
      <c r="AI360" s="334"/>
      <c r="AJ360" s="365"/>
      <c r="AK360" s="366">
        <f t="shared" si="41"/>
        <v>253.5</v>
      </c>
      <c r="AL360" s="367">
        <f t="shared" si="46"/>
        <v>215.49133081287346</v>
      </c>
      <c r="AM360" s="378"/>
      <c r="AN360" s="369"/>
      <c r="AO360" s="371">
        <f t="shared" si="42"/>
        <v>1.3451940000000001E-2</v>
      </c>
      <c r="AP360" s="371">
        <f t="shared" si="43"/>
        <v>0</v>
      </c>
      <c r="AQ360" s="372" t="str">
        <f t="shared" si="44"/>
        <v>N</v>
      </c>
      <c r="AR360" s="337">
        <v>254</v>
      </c>
      <c r="AS360" s="334"/>
      <c r="AT360" s="334"/>
      <c r="AU360" s="334"/>
      <c r="AV360" s="334"/>
      <c r="AW360" s="321"/>
    </row>
    <row r="361" spans="19:49">
      <c r="S361" s="321"/>
      <c r="T361" s="334"/>
      <c r="U361" s="365"/>
      <c r="V361" s="366">
        <f t="shared" si="37"/>
        <v>254.5</v>
      </c>
      <c r="W361" s="367">
        <f t="shared" si="45"/>
        <v>99.669468802303797</v>
      </c>
      <c r="X361" s="378"/>
      <c r="Y361" s="369"/>
      <c r="Z361" s="371">
        <f t="shared" si="38"/>
        <v>8.7416100000000004E-3</v>
      </c>
      <c r="AA361" s="371">
        <f t="shared" si="39"/>
        <v>0</v>
      </c>
      <c r="AB361" s="372" t="str">
        <f t="shared" si="40"/>
        <v>N</v>
      </c>
      <c r="AC361" s="337">
        <v>255</v>
      </c>
      <c r="AD361" s="334"/>
      <c r="AE361" s="334"/>
      <c r="AF361" s="334"/>
      <c r="AG361" s="334"/>
      <c r="AH361" s="333"/>
      <c r="AI361" s="334"/>
      <c r="AJ361" s="365"/>
      <c r="AK361" s="366">
        <f t="shared" si="41"/>
        <v>254.5</v>
      </c>
      <c r="AL361" s="367">
        <f t="shared" si="46"/>
        <v>212.59255284926149</v>
      </c>
      <c r="AM361" s="378"/>
      <c r="AN361" s="369"/>
      <c r="AO361" s="371">
        <f t="shared" si="42"/>
        <v>1.3451940000000001E-2</v>
      </c>
      <c r="AP361" s="371">
        <f t="shared" si="43"/>
        <v>0</v>
      </c>
      <c r="AQ361" s="372" t="str">
        <f t="shared" si="44"/>
        <v>N</v>
      </c>
      <c r="AR361" s="337">
        <v>255</v>
      </c>
      <c r="AS361" s="334"/>
      <c r="AT361" s="334"/>
      <c r="AU361" s="334"/>
      <c r="AV361" s="334"/>
      <c r="AW361" s="321"/>
    </row>
    <row r="362" spans="19:49">
      <c r="S362" s="321"/>
      <c r="T362" s="334"/>
      <c r="U362" s="365"/>
      <c r="V362" s="366">
        <f t="shared" si="37"/>
        <v>255.5</v>
      </c>
      <c r="W362" s="367">
        <f t="shared" si="45"/>
        <v>98.798197081972774</v>
      </c>
      <c r="X362" s="378"/>
      <c r="Y362" s="369"/>
      <c r="Z362" s="371">
        <f t="shared" si="38"/>
        <v>8.7416100000000004E-3</v>
      </c>
      <c r="AA362" s="371">
        <f t="shared" si="39"/>
        <v>0</v>
      </c>
      <c r="AB362" s="372" t="str">
        <f t="shared" si="40"/>
        <v>N</v>
      </c>
      <c r="AC362" s="337">
        <v>256</v>
      </c>
      <c r="AD362" s="334"/>
      <c r="AE362" s="334"/>
      <c r="AF362" s="334"/>
      <c r="AG362" s="334"/>
      <c r="AH362" s="333"/>
      <c r="AI362" s="334"/>
      <c r="AJ362" s="365"/>
      <c r="AK362" s="366">
        <f t="shared" si="41"/>
        <v>255.5</v>
      </c>
      <c r="AL362" s="367">
        <f t="shared" si="46"/>
        <v>209.73276909321532</v>
      </c>
      <c r="AM362" s="378"/>
      <c r="AN362" s="369"/>
      <c r="AO362" s="371">
        <f t="shared" si="42"/>
        <v>1.3451940000000001E-2</v>
      </c>
      <c r="AP362" s="371">
        <f t="shared" si="43"/>
        <v>0</v>
      </c>
      <c r="AQ362" s="372" t="str">
        <f t="shared" si="44"/>
        <v>N</v>
      </c>
      <c r="AR362" s="337">
        <v>256</v>
      </c>
      <c r="AS362" s="334"/>
      <c r="AT362" s="334"/>
      <c r="AU362" s="334"/>
      <c r="AV362" s="334"/>
      <c r="AW362" s="321"/>
    </row>
    <row r="363" spans="19:49">
      <c r="S363" s="321"/>
      <c r="T363" s="334"/>
      <c r="U363" s="365"/>
      <c r="V363" s="366">
        <f t="shared" si="37"/>
        <v>256.5</v>
      </c>
      <c r="W363" s="367">
        <f t="shared" si="45"/>
        <v>97.934541680056711</v>
      </c>
      <c r="X363" s="378"/>
      <c r="Y363" s="369"/>
      <c r="Z363" s="371">
        <f t="shared" si="38"/>
        <v>8.7416100000000004E-3</v>
      </c>
      <c r="AA363" s="371">
        <f t="shared" si="39"/>
        <v>0</v>
      </c>
      <c r="AB363" s="372" t="str">
        <f t="shared" si="40"/>
        <v>N</v>
      </c>
      <c r="AC363" s="337">
        <v>257</v>
      </c>
      <c r="AD363" s="334"/>
      <c r="AE363" s="334"/>
      <c r="AF363" s="334"/>
      <c r="AG363" s="334"/>
      <c r="AH363" s="333"/>
      <c r="AI363" s="334"/>
      <c r="AJ363" s="365"/>
      <c r="AK363" s="366">
        <f t="shared" si="41"/>
        <v>256.5</v>
      </c>
      <c r="AL363" s="367">
        <f t="shared" si="46"/>
        <v>206.91145499672089</v>
      </c>
      <c r="AM363" s="378"/>
      <c r="AN363" s="369"/>
      <c r="AO363" s="371">
        <f t="shared" si="42"/>
        <v>1.3451940000000001E-2</v>
      </c>
      <c r="AP363" s="371">
        <f t="shared" si="43"/>
        <v>0</v>
      </c>
      <c r="AQ363" s="372" t="str">
        <f t="shared" si="44"/>
        <v>N</v>
      </c>
      <c r="AR363" s="337">
        <v>257</v>
      </c>
      <c r="AS363" s="334"/>
      <c r="AT363" s="334"/>
      <c r="AU363" s="334"/>
      <c r="AV363" s="334"/>
      <c r="AW363" s="321"/>
    </row>
    <row r="364" spans="19:49">
      <c r="S364" s="321"/>
      <c r="T364" s="334"/>
      <c r="U364" s="365"/>
      <c r="V364" s="366">
        <f t="shared" ref="V364:V406" si="47">1+V363</f>
        <v>257.5</v>
      </c>
      <c r="W364" s="367">
        <f t="shared" si="45"/>
        <v>97.078436017663122</v>
      </c>
      <c r="X364" s="378"/>
      <c r="Y364" s="369"/>
      <c r="Z364" s="371">
        <f t="shared" ref="Z364:Z406" si="48">TRUNC(1-(W364/W363),8)</f>
        <v>8.7416100000000004E-3</v>
      </c>
      <c r="AA364" s="371">
        <f t="shared" ref="AA364:AA406" si="49">TRUNC(Z364-(1-(1-(W$69/100))^(1/12)),8)</f>
        <v>0</v>
      </c>
      <c r="AB364" s="372" t="str">
        <f t="shared" ref="AB364:AB406" si="50">IF(AA364&lt;0,"Y","N")</f>
        <v>N</v>
      </c>
      <c r="AC364" s="337">
        <v>258</v>
      </c>
      <c r="AD364" s="334"/>
      <c r="AE364" s="334"/>
      <c r="AF364" s="334"/>
      <c r="AG364" s="334"/>
      <c r="AH364" s="333"/>
      <c r="AI364" s="334"/>
      <c r="AJ364" s="365"/>
      <c r="AK364" s="366">
        <f t="shared" ref="AK364:AK406" si="51">1+AK363</f>
        <v>257.5</v>
      </c>
      <c r="AL364" s="367">
        <f t="shared" si="46"/>
        <v>204.12809306795623</v>
      </c>
      <c r="AM364" s="378"/>
      <c r="AN364" s="369"/>
      <c r="AO364" s="371">
        <f t="shared" ref="AO364:AO406" si="52">TRUNC(1-(AL364/AL363),8)</f>
        <v>1.3451940000000001E-2</v>
      </c>
      <c r="AP364" s="371">
        <f t="shared" ref="AP364:AP406" si="53">TRUNC(AO364-(1-(1-(AL$69/100))^(1/12)),8)</f>
        <v>0</v>
      </c>
      <c r="AQ364" s="372" t="str">
        <f t="shared" ref="AQ364:AQ406" si="54">IF(AP364&lt;0,"Y","N")</f>
        <v>N</v>
      </c>
      <c r="AR364" s="337">
        <v>258</v>
      </c>
      <c r="AS364" s="334"/>
      <c r="AT364" s="334"/>
      <c r="AU364" s="334"/>
      <c r="AV364" s="334"/>
      <c r="AW364" s="321"/>
    </row>
    <row r="365" spans="19:49">
      <c r="S365" s="321"/>
      <c r="T365" s="334"/>
      <c r="U365" s="365"/>
      <c r="V365" s="366">
        <f t="shared" si="47"/>
        <v>258.5</v>
      </c>
      <c r="W365" s="367">
        <f t="shared" ref="W365:W406" si="55">IF(AA364&lt;=0,AF$66*(1-(dt/100))^((V365-AF$67)/12),AE$65/((1+(V365/12)*((1-W$67/100)^(-W$68)-1)))^(1/W$68))</f>
        <v>96.229814097906313</v>
      </c>
      <c r="X365" s="378"/>
      <c r="Y365" s="369"/>
      <c r="Z365" s="371">
        <f t="shared" si="48"/>
        <v>8.7416100000000004E-3</v>
      </c>
      <c r="AA365" s="371">
        <f t="shared" si="49"/>
        <v>0</v>
      </c>
      <c r="AB365" s="372" t="str">
        <f t="shared" si="50"/>
        <v>N</v>
      </c>
      <c r="AC365" s="337">
        <v>259</v>
      </c>
      <c r="AD365" s="334"/>
      <c r="AE365" s="334"/>
      <c r="AF365" s="334"/>
      <c r="AG365" s="334"/>
      <c r="AH365" s="333"/>
      <c r="AI365" s="334"/>
      <c r="AJ365" s="365"/>
      <c r="AK365" s="366">
        <f t="shared" si="51"/>
        <v>258.5</v>
      </c>
      <c r="AL365" s="367">
        <f t="shared" ref="AL365:AL406" si="56">IF(AP364&lt;=0,AU$66*(1-(AL$69/100))^((AK365-AU$67)/12),AT$65/((1+(AK365/12)*((1-AL$67/100)^(-AL$68)-1)))^(1/AL$68))</f>
        <v>201.38217277637227</v>
      </c>
      <c r="AM365" s="378"/>
      <c r="AN365" s="369"/>
      <c r="AO365" s="371">
        <f t="shared" si="52"/>
        <v>1.3451940000000001E-2</v>
      </c>
      <c r="AP365" s="371">
        <f t="shared" si="53"/>
        <v>0</v>
      </c>
      <c r="AQ365" s="372" t="str">
        <f t="shared" si="54"/>
        <v>N</v>
      </c>
      <c r="AR365" s="337">
        <v>259</v>
      </c>
      <c r="AS365" s="334"/>
      <c r="AT365" s="334"/>
      <c r="AU365" s="334"/>
      <c r="AV365" s="334"/>
      <c r="AW365" s="321"/>
    </row>
    <row r="366" spans="19:49">
      <c r="S366" s="321"/>
      <c r="T366" s="334"/>
      <c r="U366" s="365"/>
      <c r="V366" s="366">
        <f t="shared" si="47"/>
        <v>259.5</v>
      </c>
      <c r="W366" s="367">
        <f t="shared" si="55"/>
        <v>95.38861050081961</v>
      </c>
      <c r="X366" s="378"/>
      <c r="Y366" s="369"/>
      <c r="Z366" s="371">
        <f t="shared" si="48"/>
        <v>8.7416100000000004E-3</v>
      </c>
      <c r="AA366" s="371">
        <f t="shared" si="49"/>
        <v>0</v>
      </c>
      <c r="AB366" s="372" t="str">
        <f t="shared" si="50"/>
        <v>N</v>
      </c>
      <c r="AC366" s="337">
        <v>260</v>
      </c>
      <c r="AD366" s="334"/>
      <c r="AE366" s="334"/>
      <c r="AF366" s="334"/>
      <c r="AG366" s="334"/>
      <c r="AH366" s="333"/>
      <c r="AI366" s="334"/>
      <c r="AJ366" s="365"/>
      <c r="AK366" s="366">
        <f t="shared" si="51"/>
        <v>259.5</v>
      </c>
      <c r="AL366" s="367">
        <f t="shared" si="56"/>
        <v>198.67319045904952</v>
      </c>
      <c r="AM366" s="378"/>
      <c r="AN366" s="369"/>
      <c r="AO366" s="371">
        <f t="shared" si="52"/>
        <v>1.3451940000000001E-2</v>
      </c>
      <c r="AP366" s="371">
        <f t="shared" si="53"/>
        <v>0</v>
      </c>
      <c r="AQ366" s="372" t="str">
        <f t="shared" si="54"/>
        <v>N</v>
      </c>
      <c r="AR366" s="337">
        <v>260</v>
      </c>
      <c r="AS366" s="334"/>
      <c r="AT366" s="334"/>
      <c r="AU366" s="334"/>
      <c r="AV366" s="334"/>
      <c r="AW366" s="321"/>
    </row>
    <row r="367" spans="19:49">
      <c r="S367" s="321"/>
      <c r="T367" s="334"/>
      <c r="U367" s="365"/>
      <c r="V367" s="366">
        <f t="shared" si="47"/>
        <v>260.5</v>
      </c>
      <c r="W367" s="367">
        <f t="shared" si="55"/>
        <v>94.554760378312352</v>
      </c>
      <c r="X367" s="378"/>
      <c r="Y367" s="369"/>
      <c r="Z367" s="371">
        <f t="shared" si="48"/>
        <v>8.7416100000000004E-3</v>
      </c>
      <c r="AA367" s="371">
        <f t="shared" si="49"/>
        <v>0</v>
      </c>
      <c r="AB367" s="372" t="str">
        <f t="shared" si="50"/>
        <v>N</v>
      </c>
      <c r="AC367" s="337">
        <v>261</v>
      </c>
      <c r="AD367" s="334"/>
      <c r="AE367" s="334"/>
      <c r="AF367" s="334"/>
      <c r="AG367" s="334"/>
      <c r="AH367" s="333"/>
      <c r="AI367" s="334"/>
      <c r="AJ367" s="365"/>
      <c r="AK367" s="366">
        <f t="shared" si="51"/>
        <v>260.5</v>
      </c>
      <c r="AL367" s="367">
        <f t="shared" si="56"/>
        <v>196.00064922831538</v>
      </c>
      <c r="AM367" s="378"/>
      <c r="AN367" s="369"/>
      <c r="AO367" s="371">
        <f t="shared" si="52"/>
        <v>1.3451940000000001E-2</v>
      </c>
      <c r="AP367" s="371">
        <f t="shared" si="53"/>
        <v>0</v>
      </c>
      <c r="AQ367" s="372" t="str">
        <f t="shared" si="54"/>
        <v>N</v>
      </c>
      <c r="AR367" s="337">
        <v>261</v>
      </c>
      <c r="AS367" s="334"/>
      <c r="AT367" s="334"/>
      <c r="AU367" s="334"/>
      <c r="AV367" s="334"/>
      <c r="AW367" s="321"/>
    </row>
    <row r="368" spans="19:49">
      <c r="S368" s="321"/>
      <c r="T368" s="334"/>
      <c r="U368" s="365"/>
      <c r="V368" s="366">
        <f t="shared" si="47"/>
        <v>261.5</v>
      </c>
      <c r="W368" s="367">
        <f t="shared" si="55"/>
        <v>93.728199449170575</v>
      </c>
      <c r="X368" s="378"/>
      <c r="Y368" s="369"/>
      <c r="Z368" s="371">
        <f t="shared" si="48"/>
        <v>8.7416100000000004E-3</v>
      </c>
      <c r="AA368" s="371">
        <f t="shared" si="49"/>
        <v>0</v>
      </c>
      <c r="AB368" s="372" t="str">
        <f t="shared" si="50"/>
        <v>N</v>
      </c>
      <c r="AC368" s="337">
        <v>262</v>
      </c>
      <c r="AD368" s="334"/>
      <c r="AE368" s="334"/>
      <c r="AF368" s="334"/>
      <c r="AG368" s="334"/>
      <c r="AH368" s="333"/>
      <c r="AI368" s="334"/>
      <c r="AJ368" s="365"/>
      <c r="AK368" s="366">
        <f t="shared" si="51"/>
        <v>261.5</v>
      </c>
      <c r="AL368" s="367">
        <f t="shared" si="56"/>
        <v>193.36405888060423</v>
      </c>
      <c r="AM368" s="378"/>
      <c r="AN368" s="369"/>
      <c r="AO368" s="371">
        <f t="shared" si="52"/>
        <v>1.3451940000000001E-2</v>
      </c>
      <c r="AP368" s="371">
        <f t="shared" si="53"/>
        <v>0</v>
      </c>
      <c r="AQ368" s="372" t="str">
        <f t="shared" si="54"/>
        <v>N</v>
      </c>
      <c r="AR368" s="337">
        <v>262</v>
      </c>
      <c r="AS368" s="334"/>
      <c r="AT368" s="334"/>
      <c r="AU368" s="334"/>
      <c r="AV368" s="334"/>
      <c r="AW368" s="321"/>
    </row>
    <row r="369" spans="19:49">
      <c r="S369" s="321"/>
      <c r="T369" s="334"/>
      <c r="U369" s="365"/>
      <c r="V369" s="366">
        <f t="shared" si="47"/>
        <v>262.5</v>
      </c>
      <c r="W369" s="367">
        <f t="shared" si="55"/>
        <v>92.908863994101722</v>
      </c>
      <c r="X369" s="378"/>
      <c r="Y369" s="369"/>
      <c r="Z369" s="371">
        <f t="shared" si="48"/>
        <v>8.7416100000000004E-3</v>
      </c>
      <c r="AA369" s="371">
        <f t="shared" si="49"/>
        <v>0</v>
      </c>
      <c r="AB369" s="372" t="str">
        <f t="shared" si="50"/>
        <v>N</v>
      </c>
      <c r="AC369" s="337">
        <v>263</v>
      </c>
      <c r="AD369" s="334"/>
      <c r="AE369" s="334"/>
      <c r="AF369" s="334"/>
      <c r="AG369" s="334"/>
      <c r="AH369" s="333"/>
      <c r="AI369" s="334"/>
      <c r="AJ369" s="365"/>
      <c r="AK369" s="366">
        <f t="shared" si="51"/>
        <v>262.5</v>
      </c>
      <c r="AL369" s="367">
        <f t="shared" si="56"/>
        <v>190.76293580654246</v>
      </c>
      <c r="AM369" s="378"/>
      <c r="AN369" s="369"/>
      <c r="AO369" s="371">
        <f t="shared" si="52"/>
        <v>1.3451940000000001E-2</v>
      </c>
      <c r="AP369" s="371">
        <f t="shared" si="53"/>
        <v>0</v>
      </c>
      <c r="AQ369" s="372" t="str">
        <f t="shared" si="54"/>
        <v>N</v>
      </c>
      <c r="AR369" s="337">
        <v>263</v>
      </c>
      <c r="AS369" s="334"/>
      <c r="AT369" s="334"/>
      <c r="AU369" s="334"/>
      <c r="AV369" s="334"/>
      <c r="AW369" s="321"/>
    </row>
    <row r="370" spans="19:49" ht="15.05" thickBot="1">
      <c r="S370" s="321"/>
      <c r="T370" s="334"/>
      <c r="U370" s="373">
        <f>1+U358</f>
        <v>22</v>
      </c>
      <c r="V370" s="374">
        <f t="shared" si="47"/>
        <v>263.5</v>
      </c>
      <c r="W370" s="367">
        <f t="shared" si="55"/>
        <v>92.096690850822426</v>
      </c>
      <c r="X370" s="375">
        <f>SUM(W359:W370)</f>
        <v>1160.371137314866</v>
      </c>
      <c r="Y370" s="376">
        <f>-(X370/X358-1)</f>
        <v>0.1000000000000002</v>
      </c>
      <c r="Z370" s="371">
        <f t="shared" si="48"/>
        <v>8.7416100000000004E-3</v>
      </c>
      <c r="AA370" s="371">
        <f t="shared" si="49"/>
        <v>0</v>
      </c>
      <c r="AB370" s="372" t="str">
        <f t="shared" si="50"/>
        <v>N</v>
      </c>
      <c r="AC370" s="337">
        <v>264</v>
      </c>
      <c r="AD370" s="334"/>
      <c r="AE370" s="334"/>
      <c r="AF370" s="334"/>
      <c r="AG370" s="334"/>
      <c r="AH370" s="333"/>
      <c r="AI370" s="334"/>
      <c r="AJ370" s="373">
        <f>1+AJ358</f>
        <v>22</v>
      </c>
      <c r="AK370" s="374">
        <f t="shared" si="51"/>
        <v>263.5</v>
      </c>
      <c r="AL370" s="367">
        <f t="shared" si="56"/>
        <v>188.19680290224431</v>
      </c>
      <c r="AM370" s="375">
        <f>SUM(AL359:AL370)</f>
        <v>2435.6656455576258</v>
      </c>
      <c r="AN370" s="376">
        <f>-(AM370/AM358-1)</f>
        <v>0.15000000000000024</v>
      </c>
      <c r="AO370" s="371">
        <f t="shared" si="52"/>
        <v>1.3451940000000001E-2</v>
      </c>
      <c r="AP370" s="371">
        <f t="shared" si="53"/>
        <v>0</v>
      </c>
      <c r="AQ370" s="372" t="str">
        <f t="shared" si="54"/>
        <v>N</v>
      </c>
      <c r="AR370" s="337">
        <v>264</v>
      </c>
      <c r="AS370" s="334"/>
      <c r="AT370" s="334"/>
      <c r="AU370" s="334"/>
      <c r="AV370" s="334"/>
      <c r="AW370" s="321"/>
    </row>
    <row r="371" spans="19:49">
      <c r="S371" s="321"/>
      <c r="T371" s="334"/>
      <c r="U371" s="365"/>
      <c r="V371" s="366">
        <f t="shared" si="47"/>
        <v>264.5</v>
      </c>
      <c r="W371" s="377">
        <f t="shared" si="55"/>
        <v>91.291617409189598</v>
      </c>
      <c r="X371" s="378"/>
      <c r="Y371" s="369"/>
      <c r="Z371" s="371">
        <f t="shared" si="48"/>
        <v>8.7416100000000004E-3</v>
      </c>
      <c r="AA371" s="371">
        <f t="shared" si="49"/>
        <v>0</v>
      </c>
      <c r="AB371" s="372" t="str">
        <f t="shared" si="50"/>
        <v>N</v>
      </c>
      <c r="AC371" s="337">
        <v>265</v>
      </c>
      <c r="AD371" s="334"/>
      <c r="AE371" s="334"/>
      <c r="AF371" s="334"/>
      <c r="AG371" s="334"/>
      <c r="AH371" s="333"/>
      <c r="AI371" s="334"/>
      <c r="AJ371" s="365"/>
      <c r="AK371" s="366">
        <f t="shared" si="51"/>
        <v>264.5</v>
      </c>
      <c r="AL371" s="377">
        <f t="shared" si="56"/>
        <v>185.66518948180013</v>
      </c>
      <c r="AM371" s="378"/>
      <c r="AN371" s="369"/>
      <c r="AO371" s="371">
        <f t="shared" si="52"/>
        <v>1.3451940000000001E-2</v>
      </c>
      <c r="AP371" s="371">
        <f t="shared" si="53"/>
        <v>0</v>
      </c>
      <c r="AQ371" s="372" t="str">
        <f t="shared" si="54"/>
        <v>N</v>
      </c>
      <c r="AR371" s="337">
        <v>265</v>
      </c>
      <c r="AS371" s="334"/>
      <c r="AT371" s="334"/>
      <c r="AU371" s="334"/>
      <c r="AV371" s="334"/>
      <c r="AW371" s="321"/>
    </row>
    <row r="372" spans="19:49">
      <c r="S372" s="321"/>
      <c r="T372" s="334"/>
      <c r="U372" s="365"/>
      <c r="V372" s="366">
        <f t="shared" si="47"/>
        <v>265.5</v>
      </c>
      <c r="W372" s="367">
        <f t="shared" si="55"/>
        <v>90.493581606373411</v>
      </c>
      <c r="X372" s="378"/>
      <c r="Y372" s="369"/>
      <c r="Z372" s="371">
        <f t="shared" si="48"/>
        <v>8.7416100000000004E-3</v>
      </c>
      <c r="AA372" s="371">
        <f t="shared" si="49"/>
        <v>0</v>
      </c>
      <c r="AB372" s="372" t="str">
        <f t="shared" si="50"/>
        <v>N</v>
      </c>
      <c r="AC372" s="337">
        <v>266</v>
      </c>
      <c r="AD372" s="334"/>
      <c r="AE372" s="334"/>
      <c r="AF372" s="334"/>
      <c r="AG372" s="334"/>
      <c r="AH372" s="333"/>
      <c r="AI372" s="334"/>
      <c r="AJ372" s="365"/>
      <c r="AK372" s="366">
        <f t="shared" si="51"/>
        <v>265.5</v>
      </c>
      <c r="AL372" s="367">
        <f t="shared" si="56"/>
        <v>183.16763119094239</v>
      </c>
      <c r="AM372" s="378"/>
      <c r="AN372" s="369"/>
      <c r="AO372" s="371">
        <f t="shared" si="52"/>
        <v>1.3451940000000001E-2</v>
      </c>
      <c r="AP372" s="371">
        <f t="shared" si="53"/>
        <v>0</v>
      </c>
      <c r="AQ372" s="372" t="str">
        <f t="shared" si="54"/>
        <v>N</v>
      </c>
      <c r="AR372" s="337">
        <v>266</v>
      </c>
      <c r="AS372" s="334"/>
      <c r="AT372" s="334"/>
      <c r="AU372" s="334"/>
      <c r="AV372" s="334"/>
      <c r="AW372" s="321"/>
    </row>
    <row r="373" spans="19:49">
      <c r="S373" s="321"/>
      <c r="T373" s="334"/>
      <c r="U373" s="365"/>
      <c r="V373" s="366">
        <f t="shared" si="47"/>
        <v>266.5</v>
      </c>
      <c r="W373" s="367">
        <f t="shared" si="55"/>
        <v>89.702521922073402</v>
      </c>
      <c r="X373" s="378"/>
      <c r="Y373" s="369"/>
      <c r="Z373" s="371">
        <f t="shared" si="48"/>
        <v>8.7416100000000004E-3</v>
      </c>
      <c r="AA373" s="371">
        <f t="shared" si="49"/>
        <v>0</v>
      </c>
      <c r="AB373" s="372" t="str">
        <f t="shared" si="50"/>
        <v>N</v>
      </c>
      <c r="AC373" s="337">
        <v>267</v>
      </c>
      <c r="AD373" s="334"/>
      <c r="AE373" s="334"/>
      <c r="AF373" s="334"/>
      <c r="AG373" s="334"/>
      <c r="AH373" s="333"/>
      <c r="AI373" s="334"/>
      <c r="AJ373" s="365"/>
      <c r="AK373" s="366">
        <f t="shared" si="51"/>
        <v>266.5</v>
      </c>
      <c r="AL373" s="367">
        <f t="shared" si="56"/>
        <v>180.70366992187232</v>
      </c>
      <c r="AM373" s="378"/>
      <c r="AN373" s="369"/>
      <c r="AO373" s="371">
        <f t="shared" si="52"/>
        <v>1.3451940000000001E-2</v>
      </c>
      <c r="AP373" s="371">
        <f t="shared" si="53"/>
        <v>0</v>
      </c>
      <c r="AQ373" s="372" t="str">
        <f t="shared" si="54"/>
        <v>N</v>
      </c>
      <c r="AR373" s="337">
        <v>267</v>
      </c>
      <c r="AS373" s="334"/>
      <c r="AT373" s="334"/>
      <c r="AU373" s="334"/>
      <c r="AV373" s="334"/>
      <c r="AW373" s="321"/>
    </row>
    <row r="374" spans="19:49">
      <c r="S374" s="321"/>
      <c r="T374" s="334"/>
      <c r="U374" s="365"/>
      <c r="V374" s="366">
        <f t="shared" si="47"/>
        <v>267.5</v>
      </c>
      <c r="W374" s="367">
        <f t="shared" si="55"/>
        <v>88.918377373775499</v>
      </c>
      <c r="X374" s="378"/>
      <c r="Y374" s="369"/>
      <c r="Z374" s="371">
        <f t="shared" si="48"/>
        <v>8.7416100000000004E-3</v>
      </c>
      <c r="AA374" s="371">
        <f t="shared" si="49"/>
        <v>0</v>
      </c>
      <c r="AB374" s="372" t="str">
        <f t="shared" si="50"/>
        <v>N</v>
      </c>
      <c r="AC374" s="337">
        <v>268</v>
      </c>
      <c r="AD374" s="334"/>
      <c r="AE374" s="334"/>
      <c r="AF374" s="334"/>
      <c r="AG374" s="334"/>
      <c r="AH374" s="333"/>
      <c r="AI374" s="334"/>
      <c r="AJ374" s="365"/>
      <c r="AK374" s="366">
        <f t="shared" si="51"/>
        <v>267.5</v>
      </c>
      <c r="AL374" s="367">
        <f t="shared" si="56"/>
        <v>178.27285372923299</v>
      </c>
      <c r="AM374" s="378"/>
      <c r="AN374" s="369"/>
      <c r="AO374" s="371">
        <f t="shared" si="52"/>
        <v>1.3451940000000001E-2</v>
      </c>
      <c r="AP374" s="371">
        <f t="shared" si="53"/>
        <v>0</v>
      </c>
      <c r="AQ374" s="372" t="str">
        <f t="shared" si="54"/>
        <v>N</v>
      </c>
      <c r="AR374" s="337">
        <v>268</v>
      </c>
      <c r="AS374" s="334"/>
      <c r="AT374" s="334"/>
      <c r="AU374" s="334"/>
      <c r="AV374" s="334"/>
      <c r="AW374" s="321"/>
    </row>
    <row r="375" spans="19:49">
      <c r="S375" s="321"/>
      <c r="T375" s="334"/>
      <c r="U375" s="365"/>
      <c r="V375" s="366">
        <f t="shared" si="47"/>
        <v>268.5</v>
      </c>
      <c r="W375" s="367">
        <f t="shared" si="55"/>
        <v>88.141087512051044</v>
      </c>
      <c r="X375" s="378"/>
      <c r="Y375" s="369"/>
      <c r="Z375" s="371">
        <f t="shared" si="48"/>
        <v>8.7416100000000004E-3</v>
      </c>
      <c r="AA375" s="371">
        <f t="shared" si="49"/>
        <v>0</v>
      </c>
      <c r="AB375" s="372" t="str">
        <f t="shared" si="50"/>
        <v>N</v>
      </c>
      <c r="AC375" s="337">
        <v>269</v>
      </c>
      <c r="AD375" s="334"/>
      <c r="AE375" s="334"/>
      <c r="AF375" s="334"/>
      <c r="AG375" s="334"/>
      <c r="AH375" s="333"/>
      <c r="AI375" s="334"/>
      <c r="AJ375" s="365"/>
      <c r="AK375" s="366">
        <f t="shared" si="51"/>
        <v>268.5</v>
      </c>
      <c r="AL375" s="367">
        <f t="shared" si="56"/>
        <v>175.87473674721272</v>
      </c>
      <c r="AM375" s="378"/>
      <c r="AN375" s="369"/>
      <c r="AO375" s="371">
        <f t="shared" si="52"/>
        <v>1.3451940000000001E-2</v>
      </c>
      <c r="AP375" s="371">
        <f t="shared" si="53"/>
        <v>0</v>
      </c>
      <c r="AQ375" s="372" t="str">
        <f t="shared" si="54"/>
        <v>N</v>
      </c>
      <c r="AR375" s="337">
        <v>269</v>
      </c>
      <c r="AS375" s="334"/>
      <c r="AT375" s="334"/>
      <c r="AU375" s="334"/>
      <c r="AV375" s="334"/>
      <c r="AW375" s="321"/>
    </row>
    <row r="376" spans="19:49">
      <c r="S376" s="321"/>
      <c r="T376" s="334"/>
      <c r="U376" s="365"/>
      <c r="V376" s="366">
        <f t="shared" si="47"/>
        <v>269.5</v>
      </c>
      <c r="W376" s="367">
        <f t="shared" si="55"/>
        <v>87.370592415896823</v>
      </c>
      <c r="X376" s="378"/>
      <c r="Y376" s="369"/>
      <c r="Z376" s="371">
        <f t="shared" si="48"/>
        <v>8.7416100000000004E-3</v>
      </c>
      <c r="AA376" s="371">
        <f t="shared" si="49"/>
        <v>0</v>
      </c>
      <c r="AB376" s="372" t="str">
        <f t="shared" si="50"/>
        <v>N</v>
      </c>
      <c r="AC376" s="337">
        <v>270</v>
      </c>
      <c r="AD376" s="334"/>
      <c r="AE376" s="334"/>
      <c r="AF376" s="334"/>
      <c r="AG376" s="334"/>
      <c r="AH376" s="333"/>
      <c r="AI376" s="334"/>
      <c r="AJ376" s="365"/>
      <c r="AK376" s="366">
        <f t="shared" si="51"/>
        <v>269.5</v>
      </c>
      <c r="AL376" s="367">
        <f t="shared" si="56"/>
        <v>173.50887910776285</v>
      </c>
      <c r="AM376" s="378"/>
      <c r="AN376" s="369"/>
      <c r="AO376" s="371">
        <f t="shared" si="52"/>
        <v>1.3451940000000001E-2</v>
      </c>
      <c r="AP376" s="371">
        <f t="shared" si="53"/>
        <v>0</v>
      </c>
      <c r="AQ376" s="372" t="str">
        <f t="shared" si="54"/>
        <v>N</v>
      </c>
      <c r="AR376" s="337">
        <v>270</v>
      </c>
      <c r="AS376" s="334"/>
      <c r="AT376" s="334"/>
      <c r="AU376" s="334"/>
      <c r="AV376" s="334"/>
      <c r="AW376" s="321"/>
    </row>
    <row r="377" spans="19:49">
      <c r="S377" s="321"/>
      <c r="T377" s="334"/>
      <c r="U377" s="365"/>
      <c r="V377" s="366">
        <f t="shared" si="47"/>
        <v>270.5</v>
      </c>
      <c r="W377" s="367">
        <f t="shared" si="55"/>
        <v>86.606832688115688</v>
      </c>
      <c r="X377" s="378"/>
      <c r="Y377" s="369"/>
      <c r="Z377" s="371">
        <f t="shared" si="48"/>
        <v>8.7416100000000004E-3</v>
      </c>
      <c r="AA377" s="371">
        <f t="shared" si="49"/>
        <v>0</v>
      </c>
      <c r="AB377" s="372" t="str">
        <f t="shared" si="50"/>
        <v>N</v>
      </c>
      <c r="AC377" s="337">
        <v>271</v>
      </c>
      <c r="AD377" s="334"/>
      <c r="AE377" s="334"/>
      <c r="AF377" s="334"/>
      <c r="AG377" s="334"/>
      <c r="AH377" s="333"/>
      <c r="AI377" s="334"/>
      <c r="AJ377" s="365"/>
      <c r="AK377" s="366">
        <f t="shared" si="51"/>
        <v>270.5</v>
      </c>
      <c r="AL377" s="367">
        <f t="shared" si="56"/>
        <v>171.17484685991641</v>
      </c>
      <c r="AM377" s="378"/>
      <c r="AN377" s="369"/>
      <c r="AO377" s="371">
        <f t="shared" si="52"/>
        <v>1.3451940000000001E-2</v>
      </c>
      <c r="AP377" s="371">
        <f t="shared" si="53"/>
        <v>0</v>
      </c>
      <c r="AQ377" s="372" t="str">
        <f t="shared" si="54"/>
        <v>N</v>
      </c>
      <c r="AR377" s="337">
        <v>271</v>
      </c>
      <c r="AS377" s="334"/>
      <c r="AT377" s="334"/>
      <c r="AU377" s="334"/>
      <c r="AV377" s="334"/>
      <c r="AW377" s="321"/>
    </row>
    <row r="378" spans="19:49">
      <c r="S378" s="321"/>
      <c r="T378" s="334"/>
      <c r="U378" s="365"/>
      <c r="V378" s="366">
        <f t="shared" si="47"/>
        <v>271.5</v>
      </c>
      <c r="W378" s="367">
        <f t="shared" si="55"/>
        <v>85.849749450737662</v>
      </c>
      <c r="X378" s="378"/>
      <c r="Y378" s="369"/>
      <c r="Z378" s="371">
        <f t="shared" si="48"/>
        <v>8.7416100000000004E-3</v>
      </c>
      <c r="AA378" s="371">
        <f t="shared" si="49"/>
        <v>0</v>
      </c>
      <c r="AB378" s="372" t="str">
        <f t="shared" si="50"/>
        <v>N</v>
      </c>
      <c r="AC378" s="337">
        <v>272</v>
      </c>
      <c r="AD378" s="334"/>
      <c r="AE378" s="334"/>
      <c r="AF378" s="334"/>
      <c r="AG378" s="334"/>
      <c r="AH378" s="333"/>
      <c r="AI378" s="334"/>
      <c r="AJ378" s="365"/>
      <c r="AK378" s="366">
        <f t="shared" si="51"/>
        <v>271.5</v>
      </c>
      <c r="AL378" s="367">
        <f t="shared" si="56"/>
        <v>168.87221189019206</v>
      </c>
      <c r="AM378" s="378"/>
      <c r="AN378" s="369"/>
      <c r="AO378" s="371">
        <f t="shared" si="52"/>
        <v>1.3451940000000001E-2</v>
      </c>
      <c r="AP378" s="371">
        <f t="shared" si="53"/>
        <v>0</v>
      </c>
      <c r="AQ378" s="372" t="str">
        <f t="shared" si="54"/>
        <v>N</v>
      </c>
      <c r="AR378" s="337">
        <v>272</v>
      </c>
      <c r="AS378" s="334"/>
      <c r="AT378" s="334"/>
      <c r="AU378" s="334"/>
      <c r="AV378" s="334"/>
      <c r="AW378" s="321"/>
    </row>
    <row r="379" spans="19:49">
      <c r="S379" s="321"/>
      <c r="T379" s="334"/>
      <c r="U379" s="365"/>
      <c r="V379" s="366">
        <f t="shared" si="47"/>
        <v>272.5</v>
      </c>
      <c r="W379" s="367">
        <f t="shared" si="55"/>
        <v>85.099284340481105</v>
      </c>
      <c r="X379" s="378"/>
      <c r="Y379" s="369"/>
      <c r="Z379" s="371">
        <f t="shared" si="48"/>
        <v>8.7416100000000004E-3</v>
      </c>
      <c r="AA379" s="371">
        <f t="shared" si="49"/>
        <v>0</v>
      </c>
      <c r="AB379" s="372" t="str">
        <f t="shared" si="50"/>
        <v>N</v>
      </c>
      <c r="AC379" s="337">
        <v>273</v>
      </c>
      <c r="AD379" s="334"/>
      <c r="AE379" s="334"/>
      <c r="AF379" s="334"/>
      <c r="AG379" s="334"/>
      <c r="AH379" s="333"/>
      <c r="AI379" s="334"/>
      <c r="AJ379" s="365"/>
      <c r="AK379" s="366">
        <f t="shared" si="51"/>
        <v>272.5</v>
      </c>
      <c r="AL379" s="367">
        <f t="shared" si="56"/>
        <v>166.60055184406818</v>
      </c>
      <c r="AM379" s="378"/>
      <c r="AN379" s="369"/>
      <c r="AO379" s="371">
        <f t="shared" si="52"/>
        <v>1.3451940000000001E-2</v>
      </c>
      <c r="AP379" s="371">
        <f t="shared" si="53"/>
        <v>0</v>
      </c>
      <c r="AQ379" s="372" t="str">
        <f t="shared" si="54"/>
        <v>N</v>
      </c>
      <c r="AR379" s="337">
        <v>273</v>
      </c>
      <c r="AS379" s="334"/>
      <c r="AT379" s="334"/>
      <c r="AU379" s="334"/>
      <c r="AV379" s="334"/>
      <c r="AW379" s="321"/>
    </row>
    <row r="380" spans="19:49">
      <c r="S380" s="321"/>
      <c r="T380" s="334"/>
      <c r="U380" s="365"/>
      <c r="V380" s="366">
        <f t="shared" si="47"/>
        <v>273.5</v>
      </c>
      <c r="W380" s="367">
        <f t="shared" si="55"/>
        <v>84.355379504253548</v>
      </c>
      <c r="X380" s="378"/>
      <c r="Y380" s="369"/>
      <c r="Z380" s="371">
        <f t="shared" si="48"/>
        <v>8.7416100000000004E-3</v>
      </c>
      <c r="AA380" s="371">
        <f t="shared" si="49"/>
        <v>0</v>
      </c>
      <c r="AB380" s="372" t="str">
        <f t="shared" si="50"/>
        <v>N</v>
      </c>
      <c r="AC380" s="337">
        <v>274</v>
      </c>
      <c r="AD380" s="334"/>
      <c r="AE380" s="334"/>
      <c r="AF380" s="334"/>
      <c r="AG380" s="334"/>
      <c r="AH380" s="333"/>
      <c r="AI380" s="334"/>
      <c r="AJ380" s="365"/>
      <c r="AK380" s="366">
        <f t="shared" si="51"/>
        <v>273.5</v>
      </c>
      <c r="AL380" s="367">
        <f t="shared" si="56"/>
        <v>164.35945004851357</v>
      </c>
      <c r="AM380" s="378"/>
      <c r="AN380" s="369"/>
      <c r="AO380" s="371">
        <f t="shared" si="52"/>
        <v>1.3451940000000001E-2</v>
      </c>
      <c r="AP380" s="371">
        <f t="shared" si="53"/>
        <v>0</v>
      </c>
      <c r="AQ380" s="372" t="str">
        <f t="shared" si="54"/>
        <v>N</v>
      </c>
      <c r="AR380" s="337">
        <v>274</v>
      </c>
      <c r="AS380" s="334"/>
      <c r="AT380" s="334"/>
      <c r="AU380" s="334"/>
      <c r="AV380" s="334"/>
      <c r="AW380" s="321"/>
    </row>
    <row r="381" spans="19:49">
      <c r="S381" s="321"/>
      <c r="T381" s="334"/>
      <c r="U381" s="365"/>
      <c r="V381" s="366">
        <f t="shared" si="47"/>
        <v>274.5</v>
      </c>
      <c r="W381" s="367">
        <f t="shared" si="55"/>
        <v>83.617977594691538</v>
      </c>
      <c r="X381" s="378"/>
      <c r="Y381" s="369"/>
      <c r="Z381" s="371">
        <f t="shared" si="48"/>
        <v>8.7416100000000004E-3</v>
      </c>
      <c r="AA381" s="371">
        <f t="shared" si="49"/>
        <v>0</v>
      </c>
      <c r="AB381" s="372" t="str">
        <f t="shared" si="50"/>
        <v>N</v>
      </c>
      <c r="AC381" s="337">
        <v>275</v>
      </c>
      <c r="AD381" s="334"/>
      <c r="AE381" s="334"/>
      <c r="AF381" s="334"/>
      <c r="AG381" s="334"/>
      <c r="AH381" s="333"/>
      <c r="AI381" s="334"/>
      <c r="AJ381" s="365"/>
      <c r="AK381" s="366">
        <f t="shared" si="51"/>
        <v>274.5</v>
      </c>
      <c r="AL381" s="367">
        <f t="shared" si="56"/>
        <v>162.14849543556105</v>
      </c>
      <c r="AM381" s="378"/>
      <c r="AN381" s="369"/>
      <c r="AO381" s="371">
        <f t="shared" si="52"/>
        <v>1.3451940000000001E-2</v>
      </c>
      <c r="AP381" s="371">
        <f t="shared" si="53"/>
        <v>0</v>
      </c>
      <c r="AQ381" s="372" t="str">
        <f t="shared" si="54"/>
        <v>N</v>
      </c>
      <c r="AR381" s="337">
        <v>275</v>
      </c>
      <c r="AS381" s="334"/>
      <c r="AT381" s="334"/>
      <c r="AU381" s="334"/>
      <c r="AV381" s="334"/>
      <c r="AW381" s="321"/>
    </row>
    <row r="382" spans="19:49" ht="15.05" thickBot="1">
      <c r="S382" s="321"/>
      <c r="T382" s="334"/>
      <c r="U382" s="373">
        <f>1+U370</f>
        <v>23</v>
      </c>
      <c r="V382" s="374">
        <f t="shared" si="47"/>
        <v>275.5</v>
      </c>
      <c r="W382" s="367">
        <f t="shared" si="55"/>
        <v>82.887021765740201</v>
      </c>
      <c r="X382" s="375">
        <f>SUM(W371:W382)</f>
        <v>1044.3340235833793</v>
      </c>
      <c r="Y382" s="376">
        <f>-(X382/X370-1)</f>
        <v>0.10000000000000009</v>
      </c>
      <c r="Z382" s="371">
        <f t="shared" si="48"/>
        <v>8.7416100000000004E-3</v>
      </c>
      <c r="AA382" s="371">
        <f t="shared" si="49"/>
        <v>0</v>
      </c>
      <c r="AB382" s="372" t="str">
        <f t="shared" si="50"/>
        <v>N</v>
      </c>
      <c r="AC382" s="337">
        <v>276</v>
      </c>
      <c r="AD382" s="334"/>
      <c r="AE382" s="334"/>
      <c r="AF382" s="334"/>
      <c r="AG382" s="334"/>
      <c r="AH382" s="333"/>
      <c r="AI382" s="334"/>
      <c r="AJ382" s="373">
        <f>1+AJ370</f>
        <v>23</v>
      </c>
      <c r="AK382" s="374">
        <f t="shared" si="51"/>
        <v>275.5</v>
      </c>
      <c r="AL382" s="367">
        <f t="shared" si="56"/>
        <v>159.9672824669077</v>
      </c>
      <c r="AM382" s="375">
        <f>SUM(AL371:AL382)</f>
        <v>2070.3157987239824</v>
      </c>
      <c r="AN382" s="376">
        <f>-(AM382/AM370-1)</f>
        <v>0.1499999999999998</v>
      </c>
      <c r="AO382" s="371">
        <f t="shared" si="52"/>
        <v>1.3451940000000001E-2</v>
      </c>
      <c r="AP382" s="371">
        <f t="shared" si="53"/>
        <v>0</v>
      </c>
      <c r="AQ382" s="372" t="str">
        <f t="shared" si="54"/>
        <v>N</v>
      </c>
      <c r="AR382" s="337">
        <v>276</v>
      </c>
      <c r="AS382" s="334"/>
      <c r="AT382" s="334"/>
      <c r="AU382" s="334"/>
      <c r="AV382" s="334"/>
      <c r="AW382" s="321"/>
    </row>
    <row r="383" spans="19:49">
      <c r="S383" s="321"/>
      <c r="T383" s="334"/>
      <c r="U383" s="365"/>
      <c r="V383" s="366">
        <f t="shared" si="47"/>
        <v>276.5</v>
      </c>
      <c r="W383" s="377">
        <f t="shared" si="55"/>
        <v>82.162455668270624</v>
      </c>
      <c r="X383" s="378"/>
      <c r="Y383" s="369"/>
      <c r="Z383" s="371">
        <f t="shared" si="48"/>
        <v>8.7416100000000004E-3</v>
      </c>
      <c r="AA383" s="371">
        <f t="shared" si="49"/>
        <v>0</v>
      </c>
      <c r="AB383" s="372" t="str">
        <f t="shared" si="50"/>
        <v>N</v>
      </c>
      <c r="AC383" s="337">
        <v>277</v>
      </c>
      <c r="AD383" s="334"/>
      <c r="AE383" s="334"/>
      <c r="AF383" s="334"/>
      <c r="AG383" s="334"/>
      <c r="AH383" s="333"/>
      <c r="AI383" s="334"/>
      <c r="AJ383" s="365"/>
      <c r="AK383" s="366">
        <f t="shared" si="51"/>
        <v>276.5</v>
      </c>
      <c r="AL383" s="377">
        <f t="shared" si="56"/>
        <v>157.81541105953008</v>
      </c>
      <c r="AM383" s="378"/>
      <c r="AN383" s="369"/>
      <c r="AO383" s="371">
        <f t="shared" si="52"/>
        <v>1.3451940000000001E-2</v>
      </c>
      <c r="AP383" s="371">
        <f t="shared" si="53"/>
        <v>0</v>
      </c>
      <c r="AQ383" s="372" t="str">
        <f t="shared" si="54"/>
        <v>N</v>
      </c>
      <c r="AR383" s="337">
        <v>277</v>
      </c>
      <c r="AS383" s="334"/>
      <c r="AT383" s="334"/>
      <c r="AU383" s="334"/>
      <c r="AV383" s="334"/>
      <c r="AW383" s="321"/>
    </row>
    <row r="384" spans="19:49">
      <c r="S384" s="321"/>
      <c r="T384" s="334"/>
      <c r="U384" s="365"/>
      <c r="V384" s="366">
        <f t="shared" si="47"/>
        <v>277.5</v>
      </c>
      <c r="W384" s="367">
        <f t="shared" si="55"/>
        <v>81.4442234457361</v>
      </c>
      <c r="X384" s="378"/>
      <c r="Y384" s="369"/>
      <c r="Z384" s="371">
        <f t="shared" si="48"/>
        <v>8.7416100000000004E-3</v>
      </c>
      <c r="AA384" s="371">
        <f t="shared" si="49"/>
        <v>0</v>
      </c>
      <c r="AB384" s="372" t="str">
        <f t="shared" si="50"/>
        <v>N</v>
      </c>
      <c r="AC384" s="337">
        <v>278</v>
      </c>
      <c r="AD384" s="334"/>
      <c r="AE384" s="334"/>
      <c r="AF384" s="334"/>
      <c r="AG384" s="334"/>
      <c r="AH384" s="333"/>
      <c r="AI384" s="334"/>
      <c r="AJ384" s="365"/>
      <c r="AK384" s="366">
        <f t="shared" si="51"/>
        <v>277.5</v>
      </c>
      <c r="AL384" s="367">
        <f t="shared" si="56"/>
        <v>155.69248651230106</v>
      </c>
      <c r="AM384" s="378"/>
      <c r="AN384" s="369"/>
      <c r="AO384" s="371">
        <f t="shared" si="52"/>
        <v>1.3451940000000001E-2</v>
      </c>
      <c r="AP384" s="371">
        <f t="shared" si="53"/>
        <v>0</v>
      </c>
      <c r="AQ384" s="372" t="str">
        <f t="shared" si="54"/>
        <v>N</v>
      </c>
      <c r="AR384" s="337">
        <v>278</v>
      </c>
      <c r="AS384" s="334"/>
      <c r="AT384" s="334"/>
      <c r="AU384" s="334"/>
      <c r="AV384" s="334"/>
      <c r="AW384" s="321"/>
    </row>
    <row r="385" spans="19:49">
      <c r="S385" s="321"/>
      <c r="T385" s="334"/>
      <c r="U385" s="365"/>
      <c r="V385" s="366">
        <f t="shared" si="47"/>
        <v>278.5</v>
      </c>
      <c r="W385" s="367">
        <f t="shared" si="55"/>
        <v>80.732269729866076</v>
      </c>
      <c r="X385" s="378"/>
      <c r="Y385" s="369"/>
      <c r="Z385" s="371">
        <f t="shared" si="48"/>
        <v>8.7416100000000004E-3</v>
      </c>
      <c r="AA385" s="371">
        <f t="shared" si="49"/>
        <v>0</v>
      </c>
      <c r="AB385" s="372" t="str">
        <f t="shared" si="50"/>
        <v>N</v>
      </c>
      <c r="AC385" s="337">
        <v>279</v>
      </c>
      <c r="AD385" s="334"/>
      <c r="AE385" s="334"/>
      <c r="AF385" s="334"/>
      <c r="AG385" s="334"/>
      <c r="AH385" s="333"/>
      <c r="AI385" s="334"/>
      <c r="AJ385" s="365"/>
      <c r="AK385" s="366">
        <f t="shared" si="51"/>
        <v>278.5</v>
      </c>
      <c r="AL385" s="367">
        <f t="shared" si="56"/>
        <v>153.59811943359151</v>
      </c>
      <c r="AM385" s="378"/>
      <c r="AN385" s="369"/>
      <c r="AO385" s="371">
        <f t="shared" si="52"/>
        <v>1.3451940000000001E-2</v>
      </c>
      <c r="AP385" s="371">
        <f t="shared" si="53"/>
        <v>0</v>
      </c>
      <c r="AQ385" s="372" t="str">
        <f t="shared" si="54"/>
        <v>N</v>
      </c>
      <c r="AR385" s="337">
        <v>279</v>
      </c>
      <c r="AS385" s="334"/>
      <c r="AT385" s="334"/>
      <c r="AU385" s="334"/>
      <c r="AV385" s="334"/>
      <c r="AW385" s="321"/>
    </row>
    <row r="386" spans="19:49">
      <c r="S386" s="321"/>
      <c r="T386" s="334"/>
      <c r="U386" s="365"/>
      <c r="V386" s="366">
        <f t="shared" si="47"/>
        <v>279.5</v>
      </c>
      <c r="W386" s="367">
        <f t="shared" si="55"/>
        <v>80.026539636397942</v>
      </c>
      <c r="X386" s="378"/>
      <c r="Y386" s="369"/>
      <c r="Z386" s="371">
        <f t="shared" si="48"/>
        <v>8.7416100000000004E-3</v>
      </c>
      <c r="AA386" s="371">
        <f t="shared" si="49"/>
        <v>0</v>
      </c>
      <c r="AB386" s="372" t="str">
        <f t="shared" si="50"/>
        <v>N</v>
      </c>
      <c r="AC386" s="337">
        <v>280</v>
      </c>
      <c r="AD386" s="334"/>
      <c r="AE386" s="334"/>
      <c r="AF386" s="334"/>
      <c r="AG386" s="334"/>
      <c r="AH386" s="333"/>
      <c r="AI386" s="334"/>
      <c r="AJ386" s="365"/>
      <c r="AK386" s="366">
        <f t="shared" si="51"/>
        <v>279.5</v>
      </c>
      <c r="AL386" s="367">
        <f t="shared" si="56"/>
        <v>151.53192566984808</v>
      </c>
      <c r="AM386" s="378"/>
      <c r="AN386" s="369"/>
      <c r="AO386" s="371">
        <f t="shared" si="52"/>
        <v>1.3451940000000001E-2</v>
      </c>
      <c r="AP386" s="371">
        <f t="shared" si="53"/>
        <v>0</v>
      </c>
      <c r="AQ386" s="372" t="str">
        <f t="shared" si="54"/>
        <v>N</v>
      </c>
      <c r="AR386" s="337">
        <v>280</v>
      </c>
      <c r="AS386" s="334"/>
      <c r="AT386" s="334"/>
      <c r="AU386" s="334"/>
      <c r="AV386" s="334"/>
      <c r="AW386" s="321"/>
    </row>
    <row r="387" spans="19:49">
      <c r="S387" s="321"/>
      <c r="T387" s="334"/>
      <c r="U387" s="365"/>
      <c r="V387" s="366">
        <f t="shared" si="47"/>
        <v>280.5</v>
      </c>
      <c r="W387" s="367">
        <f t="shared" si="55"/>
        <v>79.326978760845947</v>
      </c>
      <c r="X387" s="378"/>
      <c r="Y387" s="369"/>
      <c r="Z387" s="371">
        <f t="shared" si="48"/>
        <v>8.7416100000000004E-3</v>
      </c>
      <c r="AA387" s="371">
        <f t="shared" si="49"/>
        <v>0</v>
      </c>
      <c r="AB387" s="372" t="str">
        <f t="shared" si="50"/>
        <v>N</v>
      </c>
      <c r="AC387" s="337">
        <v>281</v>
      </c>
      <c r="AD387" s="334"/>
      <c r="AE387" s="334"/>
      <c r="AF387" s="334"/>
      <c r="AG387" s="334"/>
      <c r="AH387" s="333"/>
      <c r="AI387" s="334"/>
      <c r="AJ387" s="365"/>
      <c r="AK387" s="366">
        <f t="shared" si="51"/>
        <v>280.5</v>
      </c>
      <c r="AL387" s="367">
        <f t="shared" si="56"/>
        <v>149.49352623513084</v>
      </c>
      <c r="AM387" s="378"/>
      <c r="AN387" s="369"/>
      <c r="AO387" s="371">
        <f t="shared" si="52"/>
        <v>1.3451940000000001E-2</v>
      </c>
      <c r="AP387" s="371">
        <f t="shared" si="53"/>
        <v>0</v>
      </c>
      <c r="AQ387" s="372" t="str">
        <f t="shared" si="54"/>
        <v>N</v>
      </c>
      <c r="AR387" s="337">
        <v>281</v>
      </c>
      <c r="AS387" s="334"/>
      <c r="AT387" s="334"/>
      <c r="AU387" s="334"/>
      <c r="AV387" s="334"/>
      <c r="AW387" s="321"/>
    </row>
    <row r="388" spans="19:49">
      <c r="S388" s="321"/>
      <c r="T388" s="334"/>
      <c r="U388" s="365"/>
      <c r="V388" s="366">
        <f t="shared" si="47"/>
        <v>281.5</v>
      </c>
      <c r="W388" s="367">
        <f t="shared" si="55"/>
        <v>78.633533174307146</v>
      </c>
      <c r="X388" s="378"/>
      <c r="Y388" s="369"/>
      <c r="Z388" s="371">
        <f t="shared" si="48"/>
        <v>8.7416100000000004E-3</v>
      </c>
      <c r="AA388" s="371">
        <f t="shared" si="49"/>
        <v>0</v>
      </c>
      <c r="AB388" s="372" t="str">
        <f t="shared" si="50"/>
        <v>N</v>
      </c>
      <c r="AC388" s="337">
        <v>282</v>
      </c>
      <c r="AD388" s="334"/>
      <c r="AE388" s="334"/>
      <c r="AF388" s="334"/>
      <c r="AG388" s="334"/>
      <c r="AH388" s="333"/>
      <c r="AI388" s="334"/>
      <c r="AJ388" s="365"/>
      <c r="AK388" s="366">
        <f t="shared" si="51"/>
        <v>281.5</v>
      </c>
      <c r="AL388" s="367">
        <f t="shared" si="56"/>
        <v>147.48254724159844</v>
      </c>
      <c r="AM388" s="378"/>
      <c r="AN388" s="369"/>
      <c r="AO388" s="371">
        <f t="shared" si="52"/>
        <v>1.3451940000000001E-2</v>
      </c>
      <c r="AP388" s="371">
        <f t="shared" si="53"/>
        <v>0</v>
      </c>
      <c r="AQ388" s="372" t="str">
        <f t="shared" si="54"/>
        <v>N</v>
      </c>
      <c r="AR388" s="337">
        <v>282</v>
      </c>
      <c r="AS388" s="334"/>
      <c r="AT388" s="334"/>
      <c r="AU388" s="334"/>
      <c r="AV388" s="334"/>
      <c r="AW388" s="321"/>
    </row>
    <row r="389" spans="19:49">
      <c r="S389" s="321"/>
      <c r="T389" s="334"/>
      <c r="U389" s="365"/>
      <c r="V389" s="366">
        <f t="shared" si="47"/>
        <v>282.5</v>
      </c>
      <c r="W389" s="367">
        <f t="shared" si="55"/>
        <v>77.946149419304092</v>
      </c>
      <c r="X389" s="378"/>
      <c r="Y389" s="369"/>
      <c r="Z389" s="371">
        <f t="shared" si="48"/>
        <v>8.7416100000000004E-3</v>
      </c>
      <c r="AA389" s="371">
        <f t="shared" si="49"/>
        <v>0</v>
      </c>
      <c r="AB389" s="372" t="str">
        <f t="shared" si="50"/>
        <v>N</v>
      </c>
      <c r="AC389" s="337">
        <v>283</v>
      </c>
      <c r="AD389" s="334"/>
      <c r="AE389" s="334"/>
      <c r="AF389" s="334"/>
      <c r="AG389" s="334"/>
      <c r="AH389" s="333"/>
      <c r="AI389" s="334"/>
      <c r="AJ389" s="365"/>
      <c r="AK389" s="366">
        <f t="shared" si="51"/>
        <v>282.5</v>
      </c>
      <c r="AL389" s="367">
        <f t="shared" si="56"/>
        <v>145.49861983092899</v>
      </c>
      <c r="AM389" s="378"/>
      <c r="AN389" s="369"/>
      <c r="AO389" s="371">
        <f t="shared" si="52"/>
        <v>1.3451940000000001E-2</v>
      </c>
      <c r="AP389" s="371">
        <f t="shared" si="53"/>
        <v>0</v>
      </c>
      <c r="AQ389" s="372" t="str">
        <f t="shared" si="54"/>
        <v>N</v>
      </c>
      <c r="AR389" s="337">
        <v>283</v>
      </c>
      <c r="AS389" s="334"/>
      <c r="AT389" s="334"/>
      <c r="AU389" s="334"/>
      <c r="AV389" s="334"/>
      <c r="AW389" s="321"/>
    </row>
    <row r="390" spans="19:49">
      <c r="S390" s="321"/>
      <c r="T390" s="334"/>
      <c r="U390" s="365"/>
      <c r="V390" s="366">
        <f t="shared" si="47"/>
        <v>283.5</v>
      </c>
      <c r="W390" s="367">
        <f t="shared" si="55"/>
        <v>77.264774505663894</v>
      </c>
      <c r="X390" s="378"/>
      <c r="Y390" s="369"/>
      <c r="Z390" s="371">
        <f t="shared" si="48"/>
        <v>8.7416100000000004E-3</v>
      </c>
      <c r="AA390" s="371">
        <f t="shared" si="49"/>
        <v>0</v>
      </c>
      <c r="AB390" s="372" t="str">
        <f t="shared" si="50"/>
        <v>N</v>
      </c>
      <c r="AC390" s="337">
        <v>284</v>
      </c>
      <c r="AD390" s="334"/>
      <c r="AE390" s="334"/>
      <c r="AF390" s="334"/>
      <c r="AG390" s="334"/>
      <c r="AH390" s="333"/>
      <c r="AI390" s="334"/>
      <c r="AJ390" s="365"/>
      <c r="AK390" s="366">
        <f t="shared" si="51"/>
        <v>283.5</v>
      </c>
      <c r="AL390" s="367">
        <f t="shared" si="56"/>
        <v>143.5413801066633</v>
      </c>
      <c r="AM390" s="378"/>
      <c r="AN390" s="369"/>
      <c r="AO390" s="371">
        <f t="shared" si="52"/>
        <v>1.3451940000000001E-2</v>
      </c>
      <c r="AP390" s="371">
        <f t="shared" si="53"/>
        <v>0</v>
      </c>
      <c r="AQ390" s="372" t="str">
        <f t="shared" si="54"/>
        <v>N</v>
      </c>
      <c r="AR390" s="337">
        <v>284</v>
      </c>
      <c r="AS390" s="334"/>
      <c r="AT390" s="334"/>
      <c r="AU390" s="334"/>
      <c r="AV390" s="334"/>
      <c r="AW390" s="321"/>
    </row>
    <row r="391" spans="19:49">
      <c r="S391" s="321"/>
      <c r="T391" s="334"/>
      <c r="U391" s="365"/>
      <c r="V391" s="366">
        <f t="shared" si="47"/>
        <v>284.5</v>
      </c>
      <c r="W391" s="367">
        <f t="shared" si="55"/>
        <v>76.589355906433013</v>
      </c>
      <c r="X391" s="378"/>
      <c r="Y391" s="369"/>
      <c r="Z391" s="371">
        <f t="shared" si="48"/>
        <v>8.7416100000000004E-3</v>
      </c>
      <c r="AA391" s="371">
        <f t="shared" si="49"/>
        <v>0</v>
      </c>
      <c r="AB391" s="372" t="str">
        <f t="shared" si="50"/>
        <v>N</v>
      </c>
      <c r="AC391" s="337">
        <v>285</v>
      </c>
      <c r="AD391" s="334"/>
      <c r="AE391" s="334"/>
      <c r="AF391" s="334"/>
      <c r="AG391" s="334"/>
      <c r="AH391" s="333"/>
      <c r="AI391" s="334"/>
      <c r="AJ391" s="365"/>
      <c r="AK391" s="366">
        <f t="shared" si="51"/>
        <v>284.5</v>
      </c>
      <c r="AL391" s="367">
        <f t="shared" si="56"/>
        <v>141.61046906745793</v>
      </c>
      <c r="AM391" s="378"/>
      <c r="AN391" s="369"/>
      <c r="AO391" s="371">
        <f t="shared" si="52"/>
        <v>1.3451940000000001E-2</v>
      </c>
      <c r="AP391" s="371">
        <f t="shared" si="53"/>
        <v>0</v>
      </c>
      <c r="AQ391" s="372" t="str">
        <f t="shared" si="54"/>
        <v>N</v>
      </c>
      <c r="AR391" s="337">
        <v>285</v>
      </c>
      <c r="AS391" s="334"/>
      <c r="AT391" s="334"/>
      <c r="AU391" s="334"/>
      <c r="AV391" s="334"/>
      <c r="AW391" s="321"/>
    </row>
    <row r="392" spans="19:49">
      <c r="S392" s="321"/>
      <c r="T392" s="334"/>
      <c r="U392" s="365"/>
      <c r="V392" s="366">
        <f t="shared" si="47"/>
        <v>285.5</v>
      </c>
      <c r="W392" s="367">
        <f t="shared" si="55"/>
        <v>75.919841553828164</v>
      </c>
      <c r="X392" s="378"/>
      <c r="Y392" s="369"/>
      <c r="Z392" s="371">
        <f t="shared" si="48"/>
        <v>8.7416100000000004E-3</v>
      </c>
      <c r="AA392" s="371">
        <f t="shared" si="49"/>
        <v>0</v>
      </c>
      <c r="AB392" s="372" t="str">
        <f t="shared" si="50"/>
        <v>N</v>
      </c>
      <c r="AC392" s="337">
        <v>286</v>
      </c>
      <c r="AD392" s="334"/>
      <c r="AE392" s="334"/>
      <c r="AF392" s="334"/>
      <c r="AG392" s="334"/>
      <c r="AH392" s="333"/>
      <c r="AI392" s="334"/>
      <c r="AJ392" s="365"/>
      <c r="AK392" s="366">
        <f t="shared" si="51"/>
        <v>285.5</v>
      </c>
      <c r="AL392" s="367">
        <f t="shared" si="56"/>
        <v>139.70553254123655</v>
      </c>
      <c r="AM392" s="378"/>
      <c r="AN392" s="369"/>
      <c r="AO392" s="371">
        <f t="shared" si="52"/>
        <v>1.3451940000000001E-2</v>
      </c>
      <c r="AP392" s="371">
        <f t="shared" si="53"/>
        <v>0</v>
      </c>
      <c r="AQ392" s="372" t="str">
        <f t="shared" si="54"/>
        <v>N</v>
      </c>
      <c r="AR392" s="337">
        <v>286</v>
      </c>
      <c r="AS392" s="334"/>
      <c r="AT392" s="334"/>
      <c r="AU392" s="334"/>
      <c r="AV392" s="334"/>
      <c r="AW392" s="321"/>
    </row>
    <row r="393" spans="19:49">
      <c r="S393" s="321"/>
      <c r="T393" s="334"/>
      <c r="U393" s="365"/>
      <c r="V393" s="366">
        <f t="shared" si="47"/>
        <v>286.5</v>
      </c>
      <c r="W393" s="367">
        <f t="shared" si="55"/>
        <v>75.256179835222383</v>
      </c>
      <c r="X393" s="378"/>
      <c r="Y393" s="369"/>
      <c r="Z393" s="371">
        <f t="shared" si="48"/>
        <v>8.7416100000000004E-3</v>
      </c>
      <c r="AA393" s="371">
        <f t="shared" si="49"/>
        <v>0</v>
      </c>
      <c r="AB393" s="372" t="str">
        <f t="shared" si="50"/>
        <v>N</v>
      </c>
      <c r="AC393" s="337">
        <v>287</v>
      </c>
      <c r="AD393" s="334"/>
      <c r="AE393" s="334"/>
      <c r="AF393" s="334"/>
      <c r="AG393" s="334"/>
      <c r="AH393" s="333"/>
      <c r="AI393" s="334"/>
      <c r="AJ393" s="365"/>
      <c r="AK393" s="366">
        <f t="shared" si="51"/>
        <v>286.5</v>
      </c>
      <c r="AL393" s="367">
        <f t="shared" si="56"/>
        <v>137.82622112022693</v>
      </c>
      <c r="AM393" s="378"/>
      <c r="AN393" s="369"/>
      <c r="AO393" s="371">
        <f t="shared" si="52"/>
        <v>1.3451940000000001E-2</v>
      </c>
      <c r="AP393" s="371">
        <f t="shared" si="53"/>
        <v>0</v>
      </c>
      <c r="AQ393" s="372" t="str">
        <f t="shared" si="54"/>
        <v>N</v>
      </c>
      <c r="AR393" s="337">
        <v>287</v>
      </c>
      <c r="AS393" s="334"/>
      <c r="AT393" s="334"/>
      <c r="AU393" s="334"/>
      <c r="AV393" s="334"/>
      <c r="AW393" s="321"/>
    </row>
    <row r="394" spans="19:49" ht="15.05" thickBot="1">
      <c r="S394" s="321"/>
      <c r="T394" s="334"/>
      <c r="U394" s="373">
        <f>1+U382</f>
        <v>24</v>
      </c>
      <c r="V394" s="374">
        <f t="shared" si="47"/>
        <v>287.5</v>
      </c>
      <c r="W394" s="367">
        <f t="shared" si="55"/>
        <v>74.598319589166195</v>
      </c>
      <c r="X394" s="375">
        <f>SUM(W383:W394)</f>
        <v>939.9006212250415</v>
      </c>
      <c r="Y394" s="376">
        <f>-(X394/X382-1)</f>
        <v>9.9999999999999867E-2</v>
      </c>
      <c r="Z394" s="371">
        <f t="shared" si="48"/>
        <v>8.7416100000000004E-3</v>
      </c>
      <c r="AA394" s="371">
        <f t="shared" si="49"/>
        <v>0</v>
      </c>
      <c r="AB394" s="372" t="str">
        <f t="shared" si="50"/>
        <v>N</v>
      </c>
      <c r="AC394" s="337">
        <v>288</v>
      </c>
      <c r="AD394" s="334"/>
      <c r="AE394" s="334"/>
      <c r="AF394" s="334"/>
      <c r="AG394" s="334"/>
      <c r="AH394" s="333"/>
      <c r="AI394" s="334"/>
      <c r="AJ394" s="373">
        <f>1+AJ382</f>
        <v>24</v>
      </c>
      <c r="AK394" s="374">
        <f t="shared" si="51"/>
        <v>287.5</v>
      </c>
      <c r="AL394" s="367">
        <f t="shared" si="56"/>
        <v>135.97219009687151</v>
      </c>
      <c r="AM394" s="375">
        <f>SUM(AL383:AL394)</f>
        <v>1759.7684289153854</v>
      </c>
      <c r="AN394" s="376">
        <f>-(AM394/AM382-1)</f>
        <v>0.14999999999999991</v>
      </c>
      <c r="AO394" s="371">
        <f t="shared" si="52"/>
        <v>1.3451940000000001E-2</v>
      </c>
      <c r="AP394" s="371">
        <f t="shared" si="53"/>
        <v>0</v>
      </c>
      <c r="AQ394" s="372" t="str">
        <f t="shared" si="54"/>
        <v>N</v>
      </c>
      <c r="AR394" s="337">
        <v>288</v>
      </c>
      <c r="AS394" s="334"/>
      <c r="AT394" s="334"/>
      <c r="AU394" s="334"/>
      <c r="AV394" s="334"/>
      <c r="AW394" s="321"/>
    </row>
    <row r="395" spans="19:49">
      <c r="S395" s="321"/>
      <c r="T395" s="334"/>
      <c r="U395" s="365"/>
      <c r="V395" s="366">
        <f t="shared" si="47"/>
        <v>288.5</v>
      </c>
      <c r="W395" s="377">
        <f t="shared" si="55"/>
        <v>73.946210101443569</v>
      </c>
      <c r="X395" s="378"/>
      <c r="Y395" s="369"/>
      <c r="Z395" s="371">
        <f t="shared" si="48"/>
        <v>8.7416100000000004E-3</v>
      </c>
      <c r="AA395" s="371">
        <f t="shared" si="49"/>
        <v>0</v>
      </c>
      <c r="AB395" s="372" t="str">
        <f t="shared" si="50"/>
        <v>N</v>
      </c>
      <c r="AC395" s="337">
        <v>289</v>
      </c>
      <c r="AD395" s="334"/>
      <c r="AE395" s="334"/>
      <c r="AF395" s="334"/>
      <c r="AG395" s="334"/>
      <c r="AH395" s="333"/>
      <c r="AI395" s="334"/>
      <c r="AJ395" s="365"/>
      <c r="AK395" s="366">
        <f t="shared" si="51"/>
        <v>288.5</v>
      </c>
      <c r="AL395" s="377">
        <f t="shared" si="56"/>
        <v>134.14309940060062</v>
      </c>
      <c r="AM395" s="378"/>
      <c r="AN395" s="369"/>
      <c r="AO395" s="371">
        <f t="shared" si="52"/>
        <v>1.3451940000000001E-2</v>
      </c>
      <c r="AP395" s="371">
        <f t="shared" si="53"/>
        <v>0</v>
      </c>
      <c r="AQ395" s="372" t="str">
        <f t="shared" si="54"/>
        <v>N</v>
      </c>
      <c r="AR395" s="337">
        <v>289</v>
      </c>
      <c r="AS395" s="334"/>
      <c r="AT395" s="334"/>
      <c r="AU395" s="334"/>
      <c r="AV395" s="334"/>
      <c r="AW395" s="321"/>
    </row>
    <row r="396" spans="19:49">
      <c r="S396" s="321"/>
      <c r="T396" s="334"/>
      <c r="U396" s="365"/>
      <c r="V396" s="366">
        <f t="shared" si="47"/>
        <v>289.5</v>
      </c>
      <c r="W396" s="367">
        <f t="shared" si="55"/>
        <v>73.299801101162473</v>
      </c>
      <c r="X396" s="378"/>
      <c r="Y396" s="369"/>
      <c r="Z396" s="371">
        <f t="shared" si="48"/>
        <v>8.7416100000000004E-3</v>
      </c>
      <c r="AA396" s="371">
        <f t="shared" si="49"/>
        <v>0</v>
      </c>
      <c r="AB396" s="372" t="str">
        <f t="shared" si="50"/>
        <v>N</v>
      </c>
      <c r="AC396" s="337">
        <v>290</v>
      </c>
      <c r="AD396" s="334"/>
      <c r="AE396" s="334"/>
      <c r="AF396" s="334"/>
      <c r="AG396" s="334"/>
      <c r="AH396" s="333"/>
      <c r="AI396" s="334"/>
      <c r="AJ396" s="365"/>
      <c r="AK396" s="366">
        <f t="shared" si="51"/>
        <v>289.5</v>
      </c>
      <c r="AL396" s="367">
        <f t="shared" si="56"/>
        <v>132.33861353545589</v>
      </c>
      <c r="AM396" s="378"/>
      <c r="AN396" s="369"/>
      <c r="AO396" s="371">
        <f t="shared" si="52"/>
        <v>1.3451940000000001E-2</v>
      </c>
      <c r="AP396" s="371">
        <f t="shared" si="53"/>
        <v>0</v>
      </c>
      <c r="AQ396" s="372" t="str">
        <f t="shared" si="54"/>
        <v>N</v>
      </c>
      <c r="AR396" s="337">
        <v>290</v>
      </c>
      <c r="AS396" s="334"/>
      <c r="AT396" s="334"/>
      <c r="AU396" s="334"/>
      <c r="AV396" s="334"/>
      <c r="AW396" s="321"/>
    </row>
    <row r="397" spans="19:49">
      <c r="S397" s="321"/>
      <c r="T397" s="334"/>
      <c r="U397" s="365"/>
      <c r="V397" s="366">
        <f t="shared" si="47"/>
        <v>290.5</v>
      </c>
      <c r="W397" s="367">
        <f t="shared" si="55"/>
        <v>72.659042756879472</v>
      </c>
      <c r="X397" s="378"/>
      <c r="Y397" s="369"/>
      <c r="Z397" s="371">
        <f t="shared" si="48"/>
        <v>8.7416100000000004E-3</v>
      </c>
      <c r="AA397" s="371">
        <f t="shared" si="49"/>
        <v>0</v>
      </c>
      <c r="AB397" s="372" t="str">
        <f t="shared" si="50"/>
        <v>N</v>
      </c>
      <c r="AC397" s="337">
        <v>291</v>
      </c>
      <c r="AD397" s="334"/>
      <c r="AE397" s="334"/>
      <c r="AF397" s="334"/>
      <c r="AG397" s="334"/>
      <c r="AH397" s="333"/>
      <c r="AI397" s="334"/>
      <c r="AJ397" s="365"/>
      <c r="AK397" s="366">
        <f t="shared" si="51"/>
        <v>290.5</v>
      </c>
      <c r="AL397" s="367">
        <f t="shared" si="56"/>
        <v>130.55840151855276</v>
      </c>
      <c r="AM397" s="378"/>
      <c r="AN397" s="369"/>
      <c r="AO397" s="371">
        <f t="shared" si="52"/>
        <v>1.3451940000000001E-2</v>
      </c>
      <c r="AP397" s="371">
        <f t="shared" si="53"/>
        <v>0</v>
      </c>
      <c r="AQ397" s="372" t="str">
        <f t="shared" si="54"/>
        <v>N</v>
      </c>
      <c r="AR397" s="337">
        <v>291</v>
      </c>
      <c r="AS397" s="334"/>
      <c r="AT397" s="334"/>
      <c r="AU397" s="334"/>
      <c r="AV397" s="334"/>
      <c r="AW397" s="321"/>
    </row>
    <row r="398" spans="19:49">
      <c r="S398" s="321"/>
      <c r="T398" s="334"/>
      <c r="U398" s="365"/>
      <c r="V398" s="366">
        <f t="shared" si="47"/>
        <v>291.5</v>
      </c>
      <c r="W398" s="367">
        <f t="shared" si="55"/>
        <v>72.023885672758141</v>
      </c>
      <c r="X398" s="378"/>
      <c r="Y398" s="369"/>
      <c r="Z398" s="371">
        <f t="shared" si="48"/>
        <v>8.7416100000000004E-3</v>
      </c>
      <c r="AA398" s="371">
        <f t="shared" si="49"/>
        <v>0</v>
      </c>
      <c r="AB398" s="372" t="str">
        <f t="shared" si="50"/>
        <v>N</v>
      </c>
      <c r="AC398" s="337">
        <v>292</v>
      </c>
      <c r="AD398" s="334"/>
      <c r="AE398" s="334"/>
      <c r="AF398" s="334"/>
      <c r="AG398" s="334"/>
      <c r="AH398" s="333"/>
      <c r="AI398" s="334"/>
      <c r="AJ398" s="365"/>
      <c r="AK398" s="366">
        <f t="shared" si="51"/>
        <v>291.5</v>
      </c>
      <c r="AL398" s="367">
        <f t="shared" si="56"/>
        <v>128.80213681937084</v>
      </c>
      <c r="AM398" s="378"/>
      <c r="AN398" s="369"/>
      <c r="AO398" s="371">
        <f t="shared" si="52"/>
        <v>1.3451940000000001E-2</v>
      </c>
      <c r="AP398" s="371">
        <f t="shared" si="53"/>
        <v>0</v>
      </c>
      <c r="AQ398" s="372" t="str">
        <f t="shared" si="54"/>
        <v>N</v>
      </c>
      <c r="AR398" s="337">
        <v>292</v>
      </c>
      <c r="AS398" s="334"/>
      <c r="AT398" s="334"/>
      <c r="AU398" s="334"/>
      <c r="AV398" s="334"/>
      <c r="AW398" s="321"/>
    </row>
    <row r="399" spans="19:49">
      <c r="S399" s="321"/>
      <c r="T399" s="334"/>
      <c r="U399" s="365"/>
      <c r="V399" s="366">
        <f t="shared" si="47"/>
        <v>292.5</v>
      </c>
      <c r="W399" s="367">
        <f t="shared" si="55"/>
        <v>71.394280884761358</v>
      </c>
      <c r="X399" s="378"/>
      <c r="Y399" s="369"/>
      <c r="Z399" s="371">
        <f t="shared" si="48"/>
        <v>8.7416100000000004E-3</v>
      </c>
      <c r="AA399" s="371">
        <f t="shared" si="49"/>
        <v>0</v>
      </c>
      <c r="AB399" s="372" t="str">
        <f t="shared" si="50"/>
        <v>N</v>
      </c>
      <c r="AC399" s="337">
        <v>293</v>
      </c>
      <c r="AD399" s="334"/>
      <c r="AE399" s="334"/>
      <c r="AF399" s="334"/>
      <c r="AG399" s="334"/>
      <c r="AH399" s="333"/>
      <c r="AI399" s="334"/>
      <c r="AJ399" s="365"/>
      <c r="AK399" s="366">
        <f t="shared" si="51"/>
        <v>292.5</v>
      </c>
      <c r="AL399" s="367">
        <f t="shared" si="56"/>
        <v>127.06949729986118</v>
      </c>
      <c r="AM399" s="378"/>
      <c r="AN399" s="369"/>
      <c r="AO399" s="371">
        <f t="shared" si="52"/>
        <v>1.3451940000000001E-2</v>
      </c>
      <c r="AP399" s="371">
        <f t="shared" si="53"/>
        <v>0</v>
      </c>
      <c r="AQ399" s="372" t="str">
        <f t="shared" si="54"/>
        <v>N</v>
      </c>
      <c r="AR399" s="337">
        <v>293</v>
      </c>
      <c r="AS399" s="334"/>
      <c r="AT399" s="334"/>
      <c r="AU399" s="334"/>
      <c r="AV399" s="334"/>
      <c r="AW399" s="321"/>
    </row>
    <row r="400" spans="19:49">
      <c r="S400" s="321"/>
      <c r="T400" s="334"/>
      <c r="U400" s="365"/>
      <c r="V400" s="366">
        <f t="shared" si="47"/>
        <v>293.5</v>
      </c>
      <c r="W400" s="367">
        <f t="shared" si="55"/>
        <v>70.770179856876439</v>
      </c>
      <c r="X400" s="378"/>
      <c r="Y400" s="369"/>
      <c r="Z400" s="371">
        <f t="shared" si="48"/>
        <v>8.7416100000000004E-3</v>
      </c>
      <c r="AA400" s="371">
        <f t="shared" si="49"/>
        <v>0</v>
      </c>
      <c r="AB400" s="372" t="str">
        <f t="shared" si="50"/>
        <v>N</v>
      </c>
      <c r="AC400" s="337">
        <v>294</v>
      </c>
      <c r="AD400" s="334"/>
      <c r="AE400" s="334"/>
      <c r="AF400" s="334"/>
      <c r="AG400" s="334"/>
      <c r="AH400" s="333"/>
      <c r="AI400" s="334"/>
      <c r="AJ400" s="365"/>
      <c r="AK400" s="366">
        <f t="shared" si="51"/>
        <v>293.5</v>
      </c>
      <c r="AL400" s="367">
        <f t="shared" si="56"/>
        <v>125.36016515535864</v>
      </c>
      <c r="AM400" s="378"/>
      <c r="AN400" s="369"/>
      <c r="AO400" s="371">
        <f t="shared" si="52"/>
        <v>1.3451940000000001E-2</v>
      </c>
      <c r="AP400" s="371">
        <f t="shared" si="53"/>
        <v>0</v>
      </c>
      <c r="AQ400" s="372" t="str">
        <f t="shared" si="54"/>
        <v>N</v>
      </c>
      <c r="AR400" s="337">
        <v>294</v>
      </c>
      <c r="AS400" s="334"/>
      <c r="AT400" s="334"/>
      <c r="AU400" s="334"/>
      <c r="AV400" s="334"/>
      <c r="AW400" s="321"/>
    </row>
    <row r="401" spans="19:49">
      <c r="S401" s="321"/>
      <c r="T401" s="334"/>
      <c r="U401" s="365"/>
      <c r="V401" s="366">
        <f t="shared" si="47"/>
        <v>294.5</v>
      </c>
      <c r="W401" s="367">
        <f t="shared" si="55"/>
        <v>70.151534477373701</v>
      </c>
      <c r="X401" s="378"/>
      <c r="Y401" s="369"/>
      <c r="Z401" s="371">
        <f t="shared" si="48"/>
        <v>8.7416100000000004E-3</v>
      </c>
      <c r="AA401" s="371">
        <f t="shared" si="49"/>
        <v>0</v>
      </c>
      <c r="AB401" s="372" t="str">
        <f t="shared" si="50"/>
        <v>N</v>
      </c>
      <c r="AC401" s="337">
        <v>295</v>
      </c>
      <c r="AD401" s="334"/>
      <c r="AE401" s="334"/>
      <c r="AF401" s="334"/>
      <c r="AG401" s="334"/>
      <c r="AH401" s="333"/>
      <c r="AI401" s="334"/>
      <c r="AJ401" s="365"/>
      <c r="AK401" s="366">
        <f t="shared" si="51"/>
        <v>294.5</v>
      </c>
      <c r="AL401" s="367">
        <f t="shared" si="56"/>
        <v>123.67382685628959</v>
      </c>
      <c r="AM401" s="378"/>
      <c r="AN401" s="369"/>
      <c r="AO401" s="371">
        <f t="shared" si="52"/>
        <v>1.3451940000000001E-2</v>
      </c>
      <c r="AP401" s="371">
        <f t="shared" si="53"/>
        <v>0</v>
      </c>
      <c r="AQ401" s="372" t="str">
        <f t="shared" si="54"/>
        <v>N</v>
      </c>
      <c r="AR401" s="337">
        <v>295</v>
      </c>
      <c r="AS401" s="334"/>
      <c r="AT401" s="334"/>
      <c r="AU401" s="334"/>
      <c r="AV401" s="334"/>
      <c r="AW401" s="321"/>
    </row>
    <row r="402" spans="19:49">
      <c r="S402" s="321"/>
      <c r="T402" s="334"/>
      <c r="U402" s="365"/>
      <c r="V402" s="366">
        <f t="shared" si="47"/>
        <v>295.5</v>
      </c>
      <c r="W402" s="367">
        <f t="shared" si="55"/>
        <v>69.538297055097502</v>
      </c>
      <c r="X402" s="378"/>
      <c r="Y402" s="369"/>
      <c r="Z402" s="371">
        <f t="shared" si="48"/>
        <v>8.7416100000000004E-3</v>
      </c>
      <c r="AA402" s="371">
        <f t="shared" si="49"/>
        <v>0</v>
      </c>
      <c r="AB402" s="372" t="str">
        <f t="shared" si="50"/>
        <v>N</v>
      </c>
      <c r="AC402" s="337">
        <v>296</v>
      </c>
      <c r="AD402" s="334"/>
      <c r="AE402" s="334"/>
      <c r="AF402" s="334"/>
      <c r="AG402" s="334"/>
      <c r="AH402" s="333"/>
      <c r="AI402" s="334"/>
      <c r="AJ402" s="365"/>
      <c r="AK402" s="366">
        <f t="shared" si="51"/>
        <v>295.5</v>
      </c>
      <c r="AL402" s="367">
        <f t="shared" si="56"/>
        <v>122.01017309066376</v>
      </c>
      <c r="AM402" s="378"/>
      <c r="AN402" s="369"/>
      <c r="AO402" s="371">
        <f t="shared" si="52"/>
        <v>1.3451940000000001E-2</v>
      </c>
      <c r="AP402" s="371">
        <f t="shared" si="53"/>
        <v>0</v>
      </c>
      <c r="AQ402" s="372" t="str">
        <f t="shared" si="54"/>
        <v>N</v>
      </c>
      <c r="AR402" s="337">
        <v>296</v>
      </c>
      <c r="AS402" s="334"/>
      <c r="AT402" s="334"/>
      <c r="AU402" s="334"/>
      <c r="AV402" s="334"/>
      <c r="AW402" s="321"/>
    </row>
    <row r="403" spans="19:49">
      <c r="S403" s="321"/>
      <c r="T403" s="334"/>
      <c r="U403" s="365"/>
      <c r="V403" s="366">
        <f t="shared" si="47"/>
        <v>296.5</v>
      </c>
      <c r="W403" s="367">
        <f t="shared" si="55"/>
        <v>68.930420315789732</v>
      </c>
      <c r="X403" s="378"/>
      <c r="Y403" s="369"/>
      <c r="Z403" s="371">
        <f t="shared" si="48"/>
        <v>8.7416100000000004E-3</v>
      </c>
      <c r="AA403" s="371">
        <f t="shared" si="49"/>
        <v>0</v>
      </c>
      <c r="AB403" s="372" t="str">
        <f t="shared" si="50"/>
        <v>N</v>
      </c>
      <c r="AC403" s="337">
        <v>297</v>
      </c>
      <c r="AD403" s="334"/>
      <c r="AE403" s="334"/>
      <c r="AF403" s="334"/>
      <c r="AG403" s="334"/>
      <c r="AH403" s="333"/>
      <c r="AI403" s="334"/>
      <c r="AJ403" s="365"/>
      <c r="AK403" s="366">
        <f t="shared" si="51"/>
        <v>296.5</v>
      </c>
      <c r="AL403" s="367">
        <f t="shared" si="56"/>
        <v>120.36889870733921</v>
      </c>
      <c r="AM403" s="378"/>
      <c r="AN403" s="369"/>
      <c r="AO403" s="371">
        <f t="shared" si="52"/>
        <v>1.3451940000000001E-2</v>
      </c>
      <c r="AP403" s="371">
        <f t="shared" si="53"/>
        <v>0</v>
      </c>
      <c r="AQ403" s="372" t="str">
        <f t="shared" si="54"/>
        <v>N</v>
      </c>
      <c r="AR403" s="337">
        <v>297</v>
      </c>
      <c r="AS403" s="334"/>
      <c r="AT403" s="334"/>
      <c r="AU403" s="334"/>
      <c r="AV403" s="334"/>
      <c r="AW403" s="321"/>
    </row>
    <row r="404" spans="19:49">
      <c r="S404" s="321"/>
      <c r="T404" s="334"/>
      <c r="U404" s="365"/>
      <c r="V404" s="366">
        <f t="shared" si="47"/>
        <v>297.5</v>
      </c>
      <c r="W404" s="367">
        <f t="shared" si="55"/>
        <v>68.327857398445346</v>
      </c>
      <c r="X404" s="378"/>
      <c r="Y404" s="369"/>
      <c r="Z404" s="371">
        <f t="shared" si="48"/>
        <v>8.7416100000000004E-3</v>
      </c>
      <c r="AA404" s="371">
        <f t="shared" si="49"/>
        <v>0</v>
      </c>
      <c r="AB404" s="372" t="str">
        <f t="shared" si="50"/>
        <v>N</v>
      </c>
      <c r="AC404" s="337">
        <v>298</v>
      </c>
      <c r="AD404" s="334"/>
      <c r="AE404" s="334"/>
      <c r="AF404" s="334"/>
      <c r="AG404" s="334"/>
      <c r="AH404" s="333"/>
      <c r="AI404" s="334"/>
      <c r="AJ404" s="365"/>
      <c r="AK404" s="366">
        <f t="shared" si="51"/>
        <v>297.5</v>
      </c>
      <c r="AL404" s="367">
        <f t="shared" si="56"/>
        <v>118.74970266005103</v>
      </c>
      <c r="AM404" s="378"/>
      <c r="AN404" s="369"/>
      <c r="AO404" s="371">
        <f t="shared" si="52"/>
        <v>1.3451940000000001E-2</v>
      </c>
      <c r="AP404" s="371">
        <f t="shared" si="53"/>
        <v>0</v>
      </c>
      <c r="AQ404" s="372" t="str">
        <f t="shared" si="54"/>
        <v>N</v>
      </c>
      <c r="AR404" s="337">
        <v>298</v>
      </c>
      <c r="AS404" s="334"/>
      <c r="AT404" s="334"/>
      <c r="AU404" s="334"/>
      <c r="AV404" s="334"/>
      <c r="AW404" s="321"/>
    </row>
    <row r="405" spans="19:49">
      <c r="S405" s="321"/>
      <c r="T405" s="334"/>
      <c r="U405" s="365"/>
      <c r="V405" s="366">
        <f t="shared" si="47"/>
        <v>298.5</v>
      </c>
      <c r="W405" s="367">
        <f t="shared" si="55"/>
        <v>67.730561851700159</v>
      </c>
      <c r="X405" s="378"/>
      <c r="Y405" s="369"/>
      <c r="Z405" s="371">
        <f t="shared" si="48"/>
        <v>8.7416100000000004E-3</v>
      </c>
      <c r="AA405" s="371">
        <f t="shared" si="49"/>
        <v>0</v>
      </c>
      <c r="AB405" s="372" t="str">
        <f t="shared" si="50"/>
        <v>N</v>
      </c>
      <c r="AC405" s="337">
        <v>299</v>
      </c>
      <c r="AD405" s="334"/>
      <c r="AE405" s="334"/>
      <c r="AF405" s="334"/>
      <c r="AG405" s="334"/>
      <c r="AH405" s="333"/>
      <c r="AI405" s="334"/>
      <c r="AJ405" s="365"/>
      <c r="AK405" s="366">
        <f t="shared" si="51"/>
        <v>298.5</v>
      </c>
      <c r="AL405" s="367">
        <f t="shared" si="56"/>
        <v>117.15228795219286</v>
      </c>
      <c r="AM405" s="378"/>
      <c r="AN405" s="369"/>
      <c r="AO405" s="371">
        <f t="shared" si="52"/>
        <v>1.3451940000000001E-2</v>
      </c>
      <c r="AP405" s="371">
        <f t="shared" si="53"/>
        <v>0</v>
      </c>
      <c r="AQ405" s="372" t="str">
        <f t="shared" si="54"/>
        <v>N</v>
      </c>
      <c r="AR405" s="337">
        <v>299</v>
      </c>
      <c r="AS405" s="334"/>
      <c r="AT405" s="334"/>
      <c r="AU405" s="334"/>
      <c r="AV405" s="334"/>
      <c r="AW405" s="321"/>
    </row>
    <row r="406" spans="19:49" ht="15.05" thickBot="1">
      <c r="S406" s="321"/>
      <c r="T406" s="334"/>
      <c r="U406" s="373">
        <f>1+U394</f>
        <v>25</v>
      </c>
      <c r="V406" s="374">
        <f t="shared" si="47"/>
        <v>299.5</v>
      </c>
      <c r="W406" s="367">
        <f t="shared" si="55"/>
        <v>67.138487630249571</v>
      </c>
      <c r="X406" s="375">
        <f>SUM(W395:W406)</f>
        <v>845.91055910253738</v>
      </c>
      <c r="Y406" s="376">
        <f>-(X406/X394-1)</f>
        <v>9.9999999999999978E-2</v>
      </c>
      <c r="Z406" s="371">
        <f t="shared" si="48"/>
        <v>8.7416100000000004E-3</v>
      </c>
      <c r="AA406" s="371">
        <f t="shared" si="49"/>
        <v>0</v>
      </c>
      <c r="AB406" s="372" t="str">
        <f t="shared" si="50"/>
        <v>N</v>
      </c>
      <c r="AC406" s="337">
        <v>300</v>
      </c>
      <c r="AD406" s="334"/>
      <c r="AE406" s="334"/>
      <c r="AF406" s="334"/>
      <c r="AG406" s="334"/>
      <c r="AH406" s="333"/>
      <c r="AI406" s="334"/>
      <c r="AJ406" s="373">
        <f>1+AJ394</f>
        <v>25</v>
      </c>
      <c r="AK406" s="374">
        <f t="shared" si="51"/>
        <v>299.5</v>
      </c>
      <c r="AL406" s="367">
        <f t="shared" si="56"/>
        <v>115.57636158234082</v>
      </c>
      <c r="AM406" s="375">
        <f>SUM(AL395:AL406)</f>
        <v>1495.803164578077</v>
      </c>
      <c r="AN406" s="376">
        <f>-(AM406/AM394-1)</f>
        <v>0.15000000000000024</v>
      </c>
      <c r="AO406" s="371">
        <f t="shared" si="52"/>
        <v>1.3451940000000001E-2</v>
      </c>
      <c r="AP406" s="371">
        <f t="shared" si="53"/>
        <v>0</v>
      </c>
      <c r="AQ406" s="372" t="str">
        <f t="shared" si="54"/>
        <v>N</v>
      </c>
      <c r="AR406" s="337">
        <v>300</v>
      </c>
      <c r="AS406" s="334"/>
      <c r="AT406" s="334"/>
      <c r="AU406" s="334"/>
      <c r="AV406" s="334"/>
      <c r="AW406" s="321"/>
    </row>
    <row r="407" spans="19:49">
      <c r="S407" s="321"/>
      <c r="T407" s="334"/>
      <c r="U407" s="337"/>
      <c r="V407" s="380"/>
      <c r="W407" s="381"/>
      <c r="X407" s="382"/>
      <c r="Y407" s="335"/>
      <c r="Z407" s="334"/>
      <c r="AA407" s="382"/>
      <c r="AB407" s="334"/>
      <c r="AC407" s="334"/>
      <c r="AD407" s="334"/>
      <c r="AE407" s="334"/>
      <c r="AF407" s="334"/>
      <c r="AG407" s="334"/>
      <c r="AH407" s="333"/>
      <c r="AI407" s="334"/>
      <c r="AJ407" s="337"/>
      <c r="AK407" s="380"/>
      <c r="AL407" s="381"/>
      <c r="AM407" s="382"/>
      <c r="AN407" s="335"/>
      <c r="AO407" s="334"/>
      <c r="AP407" s="382"/>
      <c r="AQ407" s="334"/>
      <c r="AR407" s="334"/>
      <c r="AS407" s="334"/>
      <c r="AT407" s="334"/>
      <c r="AU407" s="334"/>
      <c r="AV407" s="334"/>
      <c r="AW407" s="321"/>
    </row>
    <row r="408" spans="19:49">
      <c r="S408" s="321"/>
      <c r="T408" s="334"/>
      <c r="U408" s="337"/>
      <c r="V408" s="380"/>
      <c r="W408" s="383"/>
      <c r="X408" s="382"/>
      <c r="Y408" s="335"/>
      <c r="Z408" s="334"/>
      <c r="AA408" s="382"/>
      <c r="AB408" s="334"/>
      <c r="AC408" s="334"/>
      <c r="AD408" s="334"/>
      <c r="AE408" s="334"/>
      <c r="AF408" s="334"/>
      <c r="AG408" s="334"/>
      <c r="AH408" s="333"/>
      <c r="AI408" s="334"/>
      <c r="AJ408" s="337"/>
      <c r="AK408" s="380"/>
      <c r="AL408" s="383"/>
      <c r="AM408" s="382"/>
      <c r="AN408" s="335"/>
      <c r="AO408" s="334"/>
      <c r="AP408" s="382"/>
      <c r="AQ408" s="334"/>
      <c r="AR408" s="334"/>
      <c r="AS408" s="334"/>
      <c r="AT408" s="334"/>
      <c r="AU408" s="334"/>
      <c r="AV408" s="334"/>
      <c r="AW408" s="321"/>
    </row>
    <row r="409" spans="19:49" ht="15.05" thickBot="1">
      <c r="S409" s="321"/>
      <c r="T409" s="334"/>
      <c r="U409" s="337"/>
      <c r="V409" s="380"/>
      <c r="W409" s="383"/>
      <c r="X409" s="382"/>
      <c r="Y409" s="335"/>
      <c r="Z409" s="334"/>
      <c r="AA409" s="382"/>
      <c r="AB409" s="334"/>
      <c r="AC409" s="334"/>
      <c r="AD409" s="334"/>
      <c r="AE409" s="334"/>
      <c r="AF409" s="334"/>
      <c r="AG409" s="334"/>
      <c r="AH409" s="333"/>
      <c r="AI409" s="334"/>
      <c r="AJ409" s="337"/>
      <c r="AK409" s="380"/>
      <c r="AL409" s="383"/>
      <c r="AM409" s="382"/>
      <c r="AN409" s="335"/>
      <c r="AO409" s="334"/>
      <c r="AP409" s="382"/>
      <c r="AQ409" s="334"/>
      <c r="AR409" s="334"/>
      <c r="AS409" s="334"/>
      <c r="AT409" s="334"/>
      <c r="AU409" s="334"/>
      <c r="AV409" s="334"/>
      <c r="AW409" s="321"/>
    </row>
    <row r="410" spans="19:49" ht="28.8">
      <c r="S410" s="321"/>
      <c r="T410" s="334"/>
      <c r="U410" s="384" t="s">
        <v>248</v>
      </c>
      <c r="V410" s="385" t="s">
        <v>249</v>
      </c>
      <c r="W410" s="386" t="s">
        <v>250</v>
      </c>
      <c r="X410" s="334"/>
      <c r="Y410" s="335"/>
      <c r="Z410" s="334"/>
      <c r="AA410" s="334"/>
      <c r="AB410" s="334"/>
      <c r="AC410" s="334"/>
      <c r="AD410" s="334"/>
      <c r="AE410" s="334"/>
      <c r="AF410" s="334"/>
      <c r="AG410" s="334"/>
      <c r="AH410" s="333"/>
      <c r="AI410" s="334"/>
      <c r="AJ410" s="384" t="s">
        <v>248</v>
      </c>
      <c r="AK410" s="385" t="s">
        <v>249</v>
      </c>
      <c r="AL410" s="386" t="s">
        <v>250</v>
      </c>
      <c r="AM410" s="334"/>
      <c r="AN410" s="335"/>
      <c r="AO410" s="334"/>
      <c r="AP410" s="334"/>
      <c r="AQ410" s="334"/>
      <c r="AR410" s="334"/>
      <c r="AS410" s="334"/>
      <c r="AT410" s="334"/>
      <c r="AU410" s="334"/>
      <c r="AV410" s="334"/>
      <c r="AW410" s="321"/>
    </row>
    <row r="411" spans="19:49">
      <c r="S411" s="321"/>
      <c r="T411" s="334"/>
      <c r="U411" s="387">
        <f>+U118</f>
        <v>1</v>
      </c>
      <c r="V411" s="388">
        <f>+X118</f>
        <v>25091.578417700963</v>
      </c>
      <c r="W411" s="389">
        <f>+W67/100</f>
        <v>0.5</v>
      </c>
      <c r="X411" s="334"/>
      <c r="Y411" s="335"/>
      <c r="Z411" s="334"/>
      <c r="AA411" s="334"/>
      <c r="AB411" s="334"/>
      <c r="AC411" s="334"/>
      <c r="AD411" s="334"/>
      <c r="AE411" s="334"/>
      <c r="AF411" s="334"/>
      <c r="AG411" s="334"/>
      <c r="AH411" s="333"/>
      <c r="AI411" s="334"/>
      <c r="AJ411" s="387">
        <f>+AJ118</f>
        <v>1</v>
      </c>
      <c r="AK411" s="388">
        <f>+AM118</f>
        <v>206161.37201960411</v>
      </c>
      <c r="AL411" s="389">
        <f>+AL67/100</f>
        <v>0.65</v>
      </c>
      <c r="AM411" s="334"/>
      <c r="AN411" s="335"/>
      <c r="AO411" s="334"/>
      <c r="AP411" s="334"/>
      <c r="AQ411" s="334"/>
      <c r="AR411" s="334"/>
      <c r="AS411" s="334"/>
      <c r="AT411" s="334"/>
      <c r="AU411" s="334"/>
      <c r="AV411" s="334"/>
      <c r="AW411" s="321"/>
    </row>
    <row r="412" spans="19:49">
      <c r="S412" s="321"/>
      <c r="T412" s="334"/>
      <c r="U412" s="387">
        <f>+U130</f>
        <v>2</v>
      </c>
      <c r="V412" s="388">
        <f>+X130</f>
        <v>15020.736907426564</v>
      </c>
      <c r="W412" s="389">
        <f>+Y130</f>
        <v>0.40136341136553921</v>
      </c>
      <c r="X412" s="334"/>
      <c r="Y412" s="335"/>
      <c r="Z412" s="334"/>
      <c r="AA412" s="334"/>
      <c r="AB412" s="334"/>
      <c r="AC412" s="334"/>
      <c r="AD412" s="334"/>
      <c r="AE412" s="334"/>
      <c r="AF412" s="334"/>
      <c r="AG412" s="334"/>
      <c r="AH412" s="333"/>
      <c r="AI412" s="334"/>
      <c r="AJ412" s="387">
        <f>+AJ130</f>
        <v>2</v>
      </c>
      <c r="AK412" s="388">
        <f>+AM130</f>
        <v>98407.492053480339</v>
      </c>
      <c r="AL412" s="389">
        <f>+AN130</f>
        <v>0.52266765063960352</v>
      </c>
      <c r="AM412" s="334"/>
      <c r="AN412" s="335"/>
      <c r="AO412" s="334"/>
      <c r="AP412" s="334"/>
      <c r="AQ412" s="334"/>
      <c r="AR412" s="334"/>
      <c r="AS412" s="334"/>
      <c r="AT412" s="334"/>
      <c r="AU412" s="334"/>
      <c r="AV412" s="334"/>
      <c r="AW412" s="321"/>
    </row>
    <row r="413" spans="19:49">
      <c r="S413" s="321"/>
      <c r="T413" s="334"/>
      <c r="U413" s="387">
        <f>+U142</f>
        <v>3</v>
      </c>
      <c r="V413" s="388">
        <f>+X142</f>
        <v>11009.964101895694</v>
      </c>
      <c r="W413" s="389">
        <f>+Y142</f>
        <v>0.26701571502446475</v>
      </c>
      <c r="X413" s="334"/>
      <c r="Y413" s="335"/>
      <c r="Z413" s="334"/>
      <c r="AA413" s="334"/>
      <c r="AB413" s="334"/>
      <c r="AC413" s="334"/>
      <c r="AD413" s="334"/>
      <c r="AE413" s="334"/>
      <c r="AF413" s="334"/>
      <c r="AG413" s="334"/>
      <c r="AH413" s="333"/>
      <c r="AI413" s="334"/>
      <c r="AJ413" s="387">
        <f>+AJ142</f>
        <v>3</v>
      </c>
      <c r="AK413" s="388">
        <f>+AM142</f>
        <v>65273.506113161689</v>
      </c>
      <c r="AL413" s="389">
        <f>+AN142</f>
        <v>0.3367018633328418</v>
      </c>
      <c r="AM413" s="334"/>
      <c r="AN413" s="335"/>
      <c r="AO413" s="334"/>
      <c r="AP413" s="334"/>
      <c r="AQ413" s="334"/>
      <c r="AR413" s="334"/>
      <c r="AS413" s="334"/>
      <c r="AT413" s="334"/>
      <c r="AU413" s="334"/>
      <c r="AV413" s="334"/>
      <c r="AW413" s="321"/>
    </row>
    <row r="414" spans="19:49">
      <c r="S414" s="321"/>
      <c r="T414" s="334"/>
      <c r="U414" s="387">
        <f>+U154</f>
        <v>4</v>
      </c>
      <c r="V414" s="388">
        <f>+X154</f>
        <v>8793.500540948382</v>
      </c>
      <c r="W414" s="389">
        <f>+Y154</f>
        <v>0.20131433131245913</v>
      </c>
      <c r="X414" s="334"/>
      <c r="Y414" s="335"/>
      <c r="Z414" s="334"/>
      <c r="AA414" s="334"/>
      <c r="AB414" s="334"/>
      <c r="AC414" s="334"/>
      <c r="AD414" s="334"/>
      <c r="AE414" s="334"/>
      <c r="AF414" s="334"/>
      <c r="AG414" s="334"/>
      <c r="AH414" s="333"/>
      <c r="AI414" s="334"/>
      <c r="AJ414" s="387">
        <f>+AJ154</f>
        <v>4</v>
      </c>
      <c r="AK414" s="388">
        <f>+AM154</f>
        <v>48916.401545160836</v>
      </c>
      <c r="AL414" s="389">
        <f>+AN154</f>
        <v>0.25059331943412522</v>
      </c>
      <c r="AM414" s="334"/>
      <c r="AN414" s="335"/>
      <c r="AO414" s="334"/>
      <c r="AP414" s="334"/>
      <c r="AQ414" s="334"/>
      <c r="AR414" s="334"/>
      <c r="AS414" s="334"/>
      <c r="AT414" s="334"/>
      <c r="AU414" s="334"/>
      <c r="AV414" s="334"/>
      <c r="AW414" s="321"/>
    </row>
    <row r="415" spans="19:49">
      <c r="S415" s="321"/>
      <c r="T415" s="334"/>
      <c r="U415" s="387">
        <f>+U166</f>
        <v>5</v>
      </c>
      <c r="V415" s="388">
        <f>+X166</f>
        <v>7370.554440278429</v>
      </c>
      <c r="W415" s="389">
        <f>+Y166</f>
        <v>0.16181793519472365</v>
      </c>
      <c r="X415" s="334"/>
      <c r="Y415" s="335"/>
      <c r="Z415" s="334"/>
      <c r="AA415" s="334"/>
      <c r="AB415" s="334"/>
      <c r="AC415" s="334"/>
      <c r="AD415" s="334"/>
      <c r="AE415" s="334"/>
      <c r="AF415" s="334"/>
      <c r="AG415" s="334"/>
      <c r="AH415" s="333"/>
      <c r="AI415" s="334"/>
      <c r="AJ415" s="387">
        <f>+AJ166</f>
        <v>5</v>
      </c>
      <c r="AK415" s="388">
        <f>+AM166</f>
        <v>39135.965428761789</v>
      </c>
      <c r="AL415" s="389">
        <f>+AN166</f>
        <v>0.19994185605352643</v>
      </c>
      <c r="AM415" s="334"/>
      <c r="AN415" s="335"/>
      <c r="AO415" s="334"/>
      <c r="AP415" s="334"/>
      <c r="AQ415" s="334"/>
      <c r="AR415" s="334"/>
      <c r="AS415" s="334"/>
      <c r="AT415" s="334"/>
      <c r="AU415" s="334"/>
      <c r="AV415" s="334"/>
      <c r="AW415" s="321"/>
    </row>
    <row r="416" spans="19:49">
      <c r="S416" s="321"/>
      <c r="T416" s="334"/>
      <c r="U416" s="387">
        <f>+U178</f>
        <v>6</v>
      </c>
      <c r="V416" s="388">
        <f>+X178</f>
        <v>6372.8835498910903</v>
      </c>
      <c r="W416" s="389">
        <f>+Y178</f>
        <v>0.13535900161530467</v>
      </c>
      <c r="X416" s="334"/>
      <c r="Y416" s="335"/>
      <c r="Z416" s="334"/>
      <c r="AA416" s="334"/>
      <c r="AB416" s="334"/>
      <c r="AC416" s="334"/>
      <c r="AD416" s="334"/>
      <c r="AE416" s="334"/>
      <c r="AF416" s="334"/>
      <c r="AG416" s="334"/>
      <c r="AH416" s="333"/>
      <c r="AI416" s="334"/>
      <c r="AJ416" s="387">
        <f>+AJ178</f>
        <v>6</v>
      </c>
      <c r="AK416" s="388">
        <f>+AM178</f>
        <v>32668.13339862875</v>
      </c>
      <c r="AL416" s="389">
        <f>+AN178</f>
        <v>0.16526568232758354</v>
      </c>
      <c r="AM416" s="334"/>
      <c r="AN416" s="335"/>
      <c r="AO416" s="334"/>
      <c r="AP416" s="334"/>
      <c r="AQ416" s="334"/>
      <c r="AR416" s="334"/>
      <c r="AS416" s="334"/>
      <c r="AT416" s="334"/>
      <c r="AU416" s="334"/>
      <c r="AV416" s="334"/>
      <c r="AW416" s="321"/>
    </row>
    <row r="417" spans="19:49">
      <c r="S417" s="321"/>
      <c r="T417" s="334"/>
      <c r="U417" s="387">
        <f>+U190</f>
        <v>7</v>
      </c>
      <c r="V417" s="388">
        <f>+X190</f>
        <v>5631.2751651603949</v>
      </c>
      <c r="W417" s="389">
        <f>+Y190</f>
        <v>0.11636936073363047</v>
      </c>
      <c r="X417" s="334"/>
      <c r="Y417" s="335"/>
      <c r="Z417" s="334"/>
      <c r="AA417" s="334"/>
      <c r="AB417" s="334"/>
      <c r="AC417" s="334"/>
      <c r="AD417" s="334"/>
      <c r="AE417" s="334"/>
      <c r="AF417" s="334"/>
      <c r="AG417" s="334"/>
      <c r="AH417" s="333"/>
      <c r="AI417" s="334"/>
      <c r="AJ417" s="387">
        <f>+AJ190</f>
        <v>7</v>
      </c>
      <c r="AK417" s="388">
        <f>+AM190</f>
        <v>27882.633152892857</v>
      </c>
      <c r="AL417" s="389">
        <f>+AN190</f>
        <v>0.1464883281619257</v>
      </c>
      <c r="AM417" s="334"/>
      <c r="AN417" s="335"/>
      <c r="AO417" s="334"/>
      <c r="AP417" s="334"/>
      <c r="AQ417" s="334"/>
      <c r="AR417" s="334"/>
      <c r="AS417" s="334"/>
      <c r="AT417" s="334"/>
      <c r="AU417" s="334"/>
      <c r="AV417" s="334"/>
      <c r="AW417" s="321"/>
    </row>
    <row r="418" spans="19:49">
      <c r="S418" s="321"/>
      <c r="T418" s="334"/>
      <c r="U418" s="387">
        <f>+U202</f>
        <v>8</v>
      </c>
      <c r="V418" s="388">
        <f>+X202</f>
        <v>5066.4873229154282</v>
      </c>
      <c r="W418" s="389">
        <f>+Y202</f>
        <v>0.10029484009930811</v>
      </c>
      <c r="X418" s="334"/>
      <c r="Y418" s="335"/>
      <c r="Z418" s="334"/>
      <c r="AA418" s="334"/>
      <c r="AB418" s="334"/>
      <c r="AC418" s="334"/>
      <c r="AD418" s="334"/>
      <c r="AE418" s="334"/>
      <c r="AF418" s="334"/>
      <c r="AG418" s="334"/>
      <c r="AH418" s="333"/>
      <c r="AI418" s="334"/>
      <c r="AJ418" s="387">
        <f>+AJ202</f>
        <v>8</v>
      </c>
      <c r="AK418" s="388">
        <f>+AM202</f>
        <v>23700.238179958931</v>
      </c>
      <c r="AL418" s="389">
        <f>+AN202</f>
        <v>0.14999999999999991</v>
      </c>
      <c r="AM418" s="334"/>
      <c r="AN418" s="335"/>
      <c r="AO418" s="334"/>
      <c r="AP418" s="334"/>
      <c r="AQ418" s="334"/>
      <c r="AR418" s="334"/>
      <c r="AS418" s="334"/>
      <c r="AT418" s="334"/>
      <c r="AU418" s="334"/>
      <c r="AV418" s="334"/>
      <c r="AW418" s="321"/>
    </row>
    <row r="419" spans="19:49">
      <c r="S419" s="321"/>
      <c r="T419" s="334"/>
      <c r="U419" s="387">
        <f>+U214</f>
        <v>9</v>
      </c>
      <c r="V419" s="388">
        <f>+X214</f>
        <v>4565.0369283168793</v>
      </c>
      <c r="W419" s="389">
        <f>+Y214</f>
        <v>9.8973975979475548E-2</v>
      </c>
      <c r="X419" s="334"/>
      <c r="Y419" s="335"/>
      <c r="Z419" s="334"/>
      <c r="AA419" s="334"/>
      <c r="AB419" s="334"/>
      <c r="AC419" s="334"/>
      <c r="AD419" s="334"/>
      <c r="AE419" s="334"/>
      <c r="AF419" s="334"/>
      <c r="AG419" s="334"/>
      <c r="AH419" s="333"/>
      <c r="AI419" s="334"/>
      <c r="AJ419" s="387">
        <f>+AJ214</f>
        <v>9</v>
      </c>
      <c r="AK419" s="388">
        <f>+AM214</f>
        <v>20145.202452965088</v>
      </c>
      <c r="AL419" s="389">
        <f>+AN214</f>
        <v>0.15000000000000013</v>
      </c>
      <c r="AM419" s="334"/>
      <c r="AN419" s="335"/>
      <c r="AO419" s="334"/>
      <c r="AP419" s="334"/>
      <c r="AQ419" s="334"/>
      <c r="AR419" s="334"/>
      <c r="AS419" s="334"/>
      <c r="AT419" s="334"/>
      <c r="AU419" s="334"/>
      <c r="AV419" s="334"/>
      <c r="AW419" s="321"/>
    </row>
    <row r="420" spans="19:49">
      <c r="S420" s="321"/>
      <c r="T420" s="334"/>
      <c r="U420" s="387">
        <f>+U226</f>
        <v>10</v>
      </c>
      <c r="V420" s="388">
        <f>+X226</f>
        <v>4108.5332354851917</v>
      </c>
      <c r="W420" s="389">
        <f>+Y226</f>
        <v>9.9999999999999978E-2</v>
      </c>
      <c r="X420" s="334"/>
      <c r="Y420" s="335"/>
      <c r="Z420" s="334"/>
      <c r="AA420" s="334"/>
      <c r="AB420" s="334"/>
      <c r="AC420" s="334"/>
      <c r="AD420" s="334"/>
      <c r="AE420" s="334"/>
      <c r="AF420" s="334"/>
      <c r="AG420" s="334"/>
      <c r="AH420" s="333"/>
      <c r="AI420" s="334"/>
      <c r="AJ420" s="387">
        <f>+AJ226</f>
        <v>10</v>
      </c>
      <c r="AK420" s="388">
        <f>+AM226</f>
        <v>17123.422085020327</v>
      </c>
      <c r="AL420" s="389">
        <f>+AN226</f>
        <v>0.14999999999999991</v>
      </c>
      <c r="AM420" s="334"/>
      <c r="AN420" s="335"/>
      <c r="AO420" s="334"/>
      <c r="AP420" s="334"/>
      <c r="AQ420" s="334"/>
      <c r="AR420" s="334"/>
      <c r="AS420" s="334"/>
      <c r="AT420" s="334"/>
      <c r="AU420" s="334"/>
      <c r="AV420" s="334"/>
      <c r="AW420" s="321"/>
    </row>
    <row r="421" spans="19:49">
      <c r="S421" s="321"/>
      <c r="T421" s="334"/>
      <c r="U421" s="387">
        <f>+U238</f>
        <v>11</v>
      </c>
      <c r="V421" s="388">
        <f>+X238</f>
        <v>3697.6799119366719</v>
      </c>
      <c r="W421" s="389">
        <f>+Y238</f>
        <v>0.10000000000000009</v>
      </c>
      <c r="X421" s="334"/>
      <c r="Y421" s="335"/>
      <c r="Z421" s="334"/>
      <c r="AA421" s="334"/>
      <c r="AB421" s="334"/>
      <c r="AC421" s="334"/>
      <c r="AD421" s="334"/>
      <c r="AE421" s="334"/>
      <c r="AF421" s="334"/>
      <c r="AG421" s="334"/>
      <c r="AH421" s="333"/>
      <c r="AI421" s="334"/>
      <c r="AJ421" s="387">
        <f>+AJ238</f>
        <v>11</v>
      </c>
      <c r="AK421" s="388">
        <f>+AM238</f>
        <v>14554.908772267276</v>
      </c>
      <c r="AL421" s="389">
        <f>+AN238</f>
        <v>0.15000000000000013</v>
      </c>
      <c r="AM421" s="334"/>
      <c r="AN421" s="335"/>
      <c r="AO421" s="334"/>
      <c r="AP421" s="334"/>
      <c r="AQ421" s="334"/>
      <c r="AR421" s="334"/>
      <c r="AS421" s="334"/>
      <c r="AT421" s="334"/>
      <c r="AU421" s="334"/>
      <c r="AV421" s="334"/>
      <c r="AW421" s="321"/>
    </row>
    <row r="422" spans="19:49">
      <c r="S422" s="321"/>
      <c r="T422" s="334"/>
      <c r="U422" s="387">
        <f>+U250</f>
        <v>12</v>
      </c>
      <c r="V422" s="388">
        <f>+X250</f>
        <v>3327.9119207430049</v>
      </c>
      <c r="W422" s="389">
        <f>+Y250</f>
        <v>9.9999999999999978E-2</v>
      </c>
      <c r="X422" s="334"/>
      <c r="Y422" s="335"/>
      <c r="Z422" s="334"/>
      <c r="AA422" s="334"/>
      <c r="AB422" s="334"/>
      <c r="AC422" s="334"/>
      <c r="AD422" s="334"/>
      <c r="AE422" s="334"/>
      <c r="AF422" s="334"/>
      <c r="AG422" s="334"/>
      <c r="AH422" s="333"/>
      <c r="AI422" s="334"/>
      <c r="AJ422" s="387">
        <f>+AJ250</f>
        <v>12</v>
      </c>
      <c r="AK422" s="388">
        <f>+AM250</f>
        <v>12371.672456427188</v>
      </c>
      <c r="AL422" s="389">
        <f>+AN250</f>
        <v>0.14999999999999969</v>
      </c>
      <c r="AM422" s="334"/>
      <c r="AN422" s="335"/>
      <c r="AO422" s="334"/>
      <c r="AP422" s="334"/>
      <c r="AQ422" s="334"/>
      <c r="AR422" s="334"/>
      <c r="AS422" s="334"/>
      <c r="AT422" s="334"/>
      <c r="AU422" s="334"/>
      <c r="AV422" s="334"/>
      <c r="AW422" s="321"/>
    </row>
    <row r="423" spans="19:49">
      <c r="S423" s="321"/>
      <c r="T423" s="334"/>
      <c r="U423" s="387">
        <f>+U262</f>
        <v>13</v>
      </c>
      <c r="V423" s="388">
        <f>+X262</f>
        <v>2995.1207286687045</v>
      </c>
      <c r="W423" s="389">
        <f>+Y262</f>
        <v>9.9999999999999978E-2</v>
      </c>
      <c r="X423" s="334"/>
      <c r="Y423" s="335"/>
      <c r="Z423" s="334"/>
      <c r="AA423" s="334"/>
      <c r="AB423" s="334"/>
      <c r="AC423" s="334"/>
      <c r="AD423" s="334"/>
      <c r="AE423" s="334"/>
      <c r="AF423" s="334"/>
      <c r="AG423" s="334"/>
      <c r="AH423" s="333"/>
      <c r="AI423" s="334"/>
      <c r="AJ423" s="387">
        <f>+AJ262</f>
        <v>13</v>
      </c>
      <c r="AK423" s="388">
        <f>+AM262</f>
        <v>10515.921587963108</v>
      </c>
      <c r="AL423" s="389">
        <f>+AN262</f>
        <v>0.15000000000000013</v>
      </c>
      <c r="AM423" s="334"/>
      <c r="AN423" s="335"/>
      <c r="AO423" s="334"/>
      <c r="AP423" s="334"/>
      <c r="AQ423" s="334"/>
      <c r="AR423" s="334"/>
      <c r="AS423" s="334"/>
      <c r="AT423" s="334"/>
      <c r="AU423" s="334"/>
      <c r="AV423" s="334"/>
      <c r="AW423" s="321"/>
    </row>
    <row r="424" spans="19:49">
      <c r="S424" s="321"/>
      <c r="T424" s="334"/>
      <c r="U424" s="387">
        <f>+U274</f>
        <v>14</v>
      </c>
      <c r="V424" s="388">
        <f>+X274</f>
        <v>2695.6086558018342</v>
      </c>
      <c r="W424" s="389">
        <f>+Y274</f>
        <v>9.9999999999999978E-2</v>
      </c>
      <c r="X424" s="334"/>
      <c r="Y424" s="335"/>
      <c r="Z424" s="334"/>
      <c r="AA424" s="334"/>
      <c r="AB424" s="334"/>
      <c r="AC424" s="334"/>
      <c r="AD424" s="334"/>
      <c r="AE424" s="334"/>
      <c r="AF424" s="334"/>
      <c r="AG424" s="334"/>
      <c r="AH424" s="333"/>
      <c r="AI424" s="334"/>
      <c r="AJ424" s="387">
        <f>+AJ274</f>
        <v>14</v>
      </c>
      <c r="AK424" s="388">
        <f>+AM274</f>
        <v>8938.5333497686406</v>
      </c>
      <c r="AL424" s="389">
        <f>+AN274</f>
        <v>0.15000000000000013</v>
      </c>
      <c r="AM424" s="334"/>
      <c r="AN424" s="335"/>
      <c r="AO424" s="334"/>
      <c r="AP424" s="334"/>
      <c r="AQ424" s="334"/>
      <c r="AR424" s="334"/>
      <c r="AS424" s="334"/>
      <c r="AT424" s="334"/>
      <c r="AU424" s="334"/>
      <c r="AV424" s="334"/>
      <c r="AW424" s="321"/>
    </row>
    <row r="425" spans="19:49">
      <c r="S425" s="321"/>
      <c r="T425" s="334"/>
      <c r="U425" s="387">
        <f>+U286</f>
        <v>15</v>
      </c>
      <c r="V425" s="388">
        <f>+X286</f>
        <v>2426.0477902216508</v>
      </c>
      <c r="W425" s="389">
        <f>+Y286</f>
        <v>9.9999999999999978E-2</v>
      </c>
      <c r="X425" s="334"/>
      <c r="Y425" s="335"/>
      <c r="Z425" s="334"/>
      <c r="AA425" s="334"/>
      <c r="AB425" s="334"/>
      <c r="AC425" s="334"/>
      <c r="AD425" s="334"/>
      <c r="AE425" s="334"/>
      <c r="AF425" s="334"/>
      <c r="AG425" s="334"/>
      <c r="AH425" s="333"/>
      <c r="AI425" s="334"/>
      <c r="AJ425" s="387">
        <f>+AJ286</f>
        <v>15</v>
      </c>
      <c r="AK425" s="388">
        <f>+AM286</f>
        <v>7597.7533473033454</v>
      </c>
      <c r="AL425" s="389">
        <f>+AN286</f>
        <v>0.14999999999999991</v>
      </c>
      <c r="AM425" s="334"/>
      <c r="AN425" s="335"/>
      <c r="AO425" s="334"/>
      <c r="AP425" s="334"/>
      <c r="AQ425" s="334"/>
      <c r="AR425" s="334"/>
      <c r="AS425" s="334"/>
      <c r="AT425" s="334"/>
      <c r="AU425" s="334"/>
      <c r="AV425" s="334"/>
      <c r="AW425" s="321"/>
    </row>
    <row r="426" spans="19:49">
      <c r="S426" s="321"/>
      <c r="T426" s="334"/>
      <c r="U426" s="387">
        <f>+U298</f>
        <v>16</v>
      </c>
      <c r="V426" s="388">
        <f>+X298</f>
        <v>2183.4430111994857</v>
      </c>
      <c r="W426" s="389">
        <f>+Y298</f>
        <v>9.9999999999999978E-2</v>
      </c>
      <c r="X426" s="334"/>
      <c r="Y426" s="335"/>
      <c r="Z426" s="334"/>
      <c r="AA426" s="334"/>
      <c r="AB426" s="334"/>
      <c r="AC426" s="334"/>
      <c r="AD426" s="334"/>
      <c r="AE426" s="334"/>
      <c r="AF426" s="334"/>
      <c r="AG426" s="334"/>
      <c r="AH426" s="333"/>
      <c r="AI426" s="334"/>
      <c r="AJ426" s="387">
        <f>+AJ298</f>
        <v>16</v>
      </c>
      <c r="AK426" s="388">
        <f>+AM298</f>
        <v>6458.0903452078428</v>
      </c>
      <c r="AL426" s="389">
        <f>+AN298</f>
        <v>0.15000000000000013</v>
      </c>
      <c r="AM426" s="334"/>
      <c r="AN426" s="335"/>
      <c r="AO426" s="334"/>
      <c r="AP426" s="334"/>
      <c r="AQ426" s="334"/>
      <c r="AR426" s="334"/>
      <c r="AS426" s="334"/>
      <c r="AT426" s="334"/>
      <c r="AU426" s="334"/>
      <c r="AV426" s="334"/>
      <c r="AW426" s="321"/>
    </row>
    <row r="427" spans="19:49">
      <c r="S427" s="321"/>
      <c r="T427" s="334"/>
      <c r="U427" s="387">
        <f>+U310</f>
        <v>17</v>
      </c>
      <c r="V427" s="388">
        <f>+X310</f>
        <v>1965.0987100795373</v>
      </c>
      <c r="W427" s="389">
        <f>+Y310</f>
        <v>9.9999999999999867E-2</v>
      </c>
      <c r="X427" s="334"/>
      <c r="Y427" s="335"/>
      <c r="Z427" s="334"/>
      <c r="AA427" s="334"/>
      <c r="AB427" s="334"/>
      <c r="AC427" s="334"/>
      <c r="AD427" s="334"/>
      <c r="AE427" s="334"/>
      <c r="AF427" s="334"/>
      <c r="AG427" s="334"/>
      <c r="AH427" s="333"/>
      <c r="AI427" s="334"/>
      <c r="AJ427" s="387">
        <f>+AJ310</f>
        <v>17</v>
      </c>
      <c r="AK427" s="388">
        <f>+AM310</f>
        <v>5489.3767934266671</v>
      </c>
      <c r="AL427" s="389">
        <f>+AN310</f>
        <v>0.14999999999999991</v>
      </c>
      <c r="AM427" s="334"/>
      <c r="AN427" s="335"/>
      <c r="AO427" s="334"/>
      <c r="AP427" s="334"/>
      <c r="AQ427" s="334"/>
      <c r="AR427" s="334"/>
      <c r="AS427" s="334"/>
      <c r="AT427" s="334"/>
      <c r="AU427" s="334"/>
      <c r="AV427" s="334"/>
      <c r="AW427" s="321"/>
    </row>
    <row r="428" spans="19:49">
      <c r="S428" s="321"/>
      <c r="T428" s="334"/>
      <c r="U428" s="387">
        <f>+U322</f>
        <v>18</v>
      </c>
      <c r="V428" s="388">
        <f>+X322</f>
        <v>1768.5888390715836</v>
      </c>
      <c r="W428" s="389">
        <f>+Y322</f>
        <v>9.9999999999999978E-2</v>
      </c>
      <c r="X428" s="334"/>
      <c r="Y428" s="335"/>
      <c r="Z428" s="334"/>
      <c r="AA428" s="334"/>
      <c r="AB428" s="334"/>
      <c r="AC428" s="334"/>
      <c r="AD428" s="334"/>
      <c r="AE428" s="334"/>
      <c r="AF428" s="334"/>
      <c r="AG428" s="334"/>
      <c r="AH428" s="333"/>
      <c r="AI428" s="334"/>
      <c r="AJ428" s="387">
        <f>+AJ322</f>
        <v>18</v>
      </c>
      <c r="AK428" s="388">
        <f>+AM322</f>
        <v>4665.9702744126662</v>
      </c>
      <c r="AL428" s="389">
        <f>+AN322</f>
        <v>0.15000000000000013</v>
      </c>
      <c r="AM428" s="334"/>
      <c r="AN428" s="335"/>
      <c r="AO428" s="334"/>
      <c r="AP428" s="334"/>
      <c r="AQ428" s="334"/>
      <c r="AR428" s="334"/>
      <c r="AS428" s="334"/>
      <c r="AT428" s="334"/>
      <c r="AU428" s="334"/>
      <c r="AV428" s="334"/>
      <c r="AW428" s="321"/>
    </row>
    <row r="429" spans="19:49">
      <c r="S429" s="321"/>
      <c r="T429" s="334"/>
      <c r="U429" s="387">
        <f>+U334</f>
        <v>19</v>
      </c>
      <c r="V429" s="388">
        <f>+X334</f>
        <v>1591.7299551644253</v>
      </c>
      <c r="W429" s="389">
        <f>+Y334</f>
        <v>9.9999999999999978E-2</v>
      </c>
      <c r="X429" s="334"/>
      <c r="Y429" s="335"/>
      <c r="Z429" s="334"/>
      <c r="AA429" s="334"/>
      <c r="AB429" s="334"/>
      <c r="AC429" s="334"/>
      <c r="AD429" s="334"/>
      <c r="AE429" s="334"/>
      <c r="AF429" s="334"/>
      <c r="AG429" s="334"/>
      <c r="AH429" s="333"/>
      <c r="AI429" s="334"/>
      <c r="AJ429" s="387">
        <f>+AJ334</f>
        <v>19</v>
      </c>
      <c r="AK429" s="388">
        <f>+AM334</f>
        <v>3966.0747332507658</v>
      </c>
      <c r="AL429" s="389">
        <f>+AN334</f>
        <v>0.15000000000000013</v>
      </c>
      <c r="AM429" s="334"/>
      <c r="AN429" s="335"/>
      <c r="AO429" s="334"/>
      <c r="AP429" s="334"/>
      <c r="AQ429" s="334"/>
      <c r="AR429" s="334"/>
      <c r="AS429" s="334"/>
      <c r="AT429" s="334"/>
      <c r="AU429" s="334"/>
      <c r="AV429" s="334"/>
      <c r="AW429" s="321"/>
    </row>
    <row r="430" spans="19:49">
      <c r="S430" s="321"/>
      <c r="T430" s="334"/>
      <c r="U430" s="387">
        <f>+U346</f>
        <v>20</v>
      </c>
      <c r="V430" s="388">
        <f>+X346</f>
        <v>1432.5569596479829</v>
      </c>
      <c r="W430" s="389">
        <f>+Y346</f>
        <v>9.9999999999999867E-2</v>
      </c>
      <c r="X430" s="334"/>
      <c r="Y430" s="335"/>
      <c r="Z430" s="334"/>
      <c r="AA430" s="334"/>
      <c r="AB430" s="334"/>
      <c r="AC430" s="334"/>
      <c r="AD430" s="334"/>
      <c r="AE430" s="334"/>
      <c r="AF430" s="334"/>
      <c r="AG430" s="334"/>
      <c r="AH430" s="333"/>
      <c r="AI430" s="334"/>
      <c r="AJ430" s="387">
        <f>+AJ346</f>
        <v>20</v>
      </c>
      <c r="AK430" s="388">
        <f>+AM346</f>
        <v>3371.1635232631511</v>
      </c>
      <c r="AL430" s="389">
        <f>+AN346</f>
        <v>0.14999999999999991</v>
      </c>
      <c r="AM430" s="334"/>
      <c r="AN430" s="335"/>
      <c r="AO430" s="334"/>
      <c r="AP430" s="334"/>
      <c r="AQ430" s="334"/>
      <c r="AR430" s="334"/>
      <c r="AS430" s="334"/>
      <c r="AT430" s="334"/>
      <c r="AU430" s="334"/>
      <c r="AV430" s="334"/>
      <c r="AW430" s="321"/>
    </row>
    <row r="431" spans="19:49">
      <c r="S431" s="321"/>
      <c r="T431" s="334"/>
      <c r="U431" s="387">
        <f>+U358</f>
        <v>21</v>
      </c>
      <c r="V431" s="388">
        <f>+X358</f>
        <v>1289.3012636831847</v>
      </c>
      <c r="W431" s="389">
        <f>+Y358</f>
        <v>9.9999999999999867E-2</v>
      </c>
      <c r="X431" s="334"/>
      <c r="Y431" s="335"/>
      <c r="Z431" s="334"/>
      <c r="AA431" s="334"/>
      <c r="AB431" s="334"/>
      <c r="AC431" s="334"/>
      <c r="AD431" s="334"/>
      <c r="AE431" s="334"/>
      <c r="AF431" s="334"/>
      <c r="AG431" s="334"/>
      <c r="AH431" s="333"/>
      <c r="AI431" s="334"/>
      <c r="AJ431" s="387">
        <f>+AJ358</f>
        <v>21</v>
      </c>
      <c r="AK431" s="388">
        <f>+AM358</f>
        <v>2865.4889947736783</v>
      </c>
      <c r="AL431" s="389">
        <f>+AN358</f>
        <v>0.15000000000000002</v>
      </c>
      <c r="AM431" s="334"/>
      <c r="AN431" s="335"/>
      <c r="AO431" s="334"/>
      <c r="AP431" s="334"/>
      <c r="AQ431" s="334"/>
      <c r="AR431" s="334"/>
      <c r="AS431" s="334"/>
      <c r="AT431" s="334"/>
      <c r="AU431" s="334"/>
      <c r="AV431" s="334"/>
      <c r="AW431" s="321"/>
    </row>
    <row r="432" spans="19:49">
      <c r="S432" s="321"/>
      <c r="T432" s="334"/>
      <c r="U432" s="387">
        <f>+U370</f>
        <v>22</v>
      </c>
      <c r="V432" s="388">
        <f>+X370</f>
        <v>1160.371137314866</v>
      </c>
      <c r="W432" s="389">
        <f>+Y370</f>
        <v>0.1000000000000002</v>
      </c>
      <c r="X432" s="334"/>
      <c r="Y432" s="335"/>
      <c r="Z432" s="334"/>
      <c r="AA432" s="334"/>
      <c r="AB432" s="334"/>
      <c r="AC432" s="334"/>
      <c r="AD432" s="334"/>
      <c r="AE432" s="334"/>
      <c r="AF432" s="334"/>
      <c r="AG432" s="334"/>
      <c r="AH432" s="333"/>
      <c r="AI432" s="334"/>
      <c r="AJ432" s="387">
        <f>+AJ370</f>
        <v>22</v>
      </c>
      <c r="AK432" s="388">
        <f>+AM370</f>
        <v>2435.6656455576258</v>
      </c>
      <c r="AL432" s="389">
        <f>+AN370</f>
        <v>0.15000000000000024</v>
      </c>
      <c r="AM432" s="334"/>
      <c r="AN432" s="335"/>
      <c r="AO432" s="334"/>
      <c r="AP432" s="334"/>
      <c r="AQ432" s="334"/>
      <c r="AR432" s="334"/>
      <c r="AS432" s="334"/>
      <c r="AT432" s="334"/>
      <c r="AU432" s="334"/>
      <c r="AV432" s="334"/>
      <c r="AW432" s="321"/>
    </row>
    <row r="433" spans="19:49">
      <c r="S433" s="321"/>
      <c r="T433" s="334"/>
      <c r="U433" s="387">
        <f>+U382</f>
        <v>23</v>
      </c>
      <c r="V433" s="388">
        <f>+X382</f>
        <v>1044.3340235833793</v>
      </c>
      <c r="W433" s="389">
        <f>+Y382</f>
        <v>0.10000000000000009</v>
      </c>
      <c r="X433" s="334"/>
      <c r="Y433" s="335"/>
      <c r="Z433" s="334"/>
      <c r="AA433" s="334"/>
      <c r="AB433" s="334"/>
      <c r="AC433" s="334"/>
      <c r="AD433" s="334"/>
      <c r="AE433" s="334"/>
      <c r="AF433" s="334"/>
      <c r="AG433" s="334"/>
      <c r="AH433" s="333"/>
      <c r="AI433" s="334"/>
      <c r="AJ433" s="387">
        <f>+AJ382</f>
        <v>23</v>
      </c>
      <c r="AK433" s="388">
        <f>+AM382</f>
        <v>2070.3157987239824</v>
      </c>
      <c r="AL433" s="389">
        <f>+AN382</f>
        <v>0.1499999999999998</v>
      </c>
      <c r="AM433" s="334"/>
      <c r="AN433" s="335"/>
      <c r="AO433" s="334"/>
      <c r="AP433" s="334"/>
      <c r="AQ433" s="334"/>
      <c r="AR433" s="334"/>
      <c r="AS433" s="334"/>
      <c r="AT433" s="334"/>
      <c r="AU433" s="334"/>
      <c r="AV433" s="334"/>
      <c r="AW433" s="321"/>
    </row>
    <row r="434" spans="19:49">
      <c r="S434" s="321"/>
      <c r="T434" s="334"/>
      <c r="U434" s="387">
        <f>+U394</f>
        <v>24</v>
      </c>
      <c r="V434" s="388">
        <f>+X394</f>
        <v>939.9006212250415</v>
      </c>
      <c r="W434" s="389">
        <f>+Y394</f>
        <v>9.9999999999999867E-2</v>
      </c>
      <c r="X434" s="334"/>
      <c r="Y434" s="335"/>
      <c r="Z434" s="334"/>
      <c r="AA434" s="334"/>
      <c r="AB434" s="334"/>
      <c r="AC434" s="334"/>
      <c r="AD434" s="334"/>
      <c r="AE434" s="334"/>
      <c r="AF434" s="334"/>
      <c r="AG434" s="334"/>
      <c r="AH434" s="333"/>
      <c r="AI434" s="334"/>
      <c r="AJ434" s="387">
        <f>+AJ394</f>
        <v>24</v>
      </c>
      <c r="AK434" s="388">
        <f>+AM394</f>
        <v>1759.7684289153854</v>
      </c>
      <c r="AL434" s="389">
        <f>+AN394</f>
        <v>0.14999999999999991</v>
      </c>
      <c r="AM434" s="334"/>
      <c r="AN434" s="335"/>
      <c r="AO434" s="334"/>
      <c r="AP434" s="334"/>
      <c r="AQ434" s="334"/>
      <c r="AR434" s="334"/>
      <c r="AS434" s="334"/>
      <c r="AT434" s="334"/>
      <c r="AU434" s="334"/>
      <c r="AV434" s="334"/>
      <c r="AW434" s="321"/>
    </row>
    <row r="435" spans="19:49" ht="15.05" thickBot="1">
      <c r="S435" s="321"/>
      <c r="T435" s="334"/>
      <c r="U435" s="390">
        <f>+U406</f>
        <v>25</v>
      </c>
      <c r="V435" s="391">
        <f>+X406</f>
        <v>845.91055910253738</v>
      </c>
      <c r="W435" s="392">
        <f>+Y406</f>
        <v>9.9999999999999978E-2</v>
      </c>
      <c r="X435" s="334"/>
      <c r="Y435" s="335"/>
      <c r="Z435" s="334"/>
      <c r="AA435" s="334"/>
      <c r="AB435" s="334"/>
      <c r="AC435" s="334"/>
      <c r="AD435" s="334"/>
      <c r="AE435" s="334"/>
      <c r="AF435" s="334"/>
      <c r="AG435" s="334"/>
      <c r="AH435" s="333"/>
      <c r="AI435" s="334"/>
      <c r="AJ435" s="390">
        <f>+AJ406</f>
        <v>25</v>
      </c>
      <c r="AK435" s="391">
        <f>+AM406</f>
        <v>1495.803164578077</v>
      </c>
      <c r="AL435" s="392">
        <f>+AN406</f>
        <v>0.15000000000000024</v>
      </c>
      <c r="AM435" s="334"/>
      <c r="AN435" s="335"/>
      <c r="AO435" s="334"/>
      <c r="AP435" s="334"/>
      <c r="AQ435" s="334"/>
      <c r="AR435" s="334"/>
      <c r="AS435" s="334"/>
      <c r="AT435" s="334"/>
      <c r="AU435" s="334"/>
      <c r="AV435" s="334"/>
      <c r="AW435" s="321"/>
    </row>
    <row r="436" spans="19:49">
      <c r="S436" s="321"/>
      <c r="U436" s="320"/>
      <c r="Y436" s="93"/>
      <c r="AH436" s="321"/>
      <c r="AJ436" s="320"/>
      <c r="AN436" s="93"/>
      <c r="AW436" s="321"/>
    </row>
    <row r="437" spans="19:49">
      <c r="S437" s="321"/>
      <c r="T437" s="321"/>
      <c r="U437" s="321"/>
      <c r="V437" s="321"/>
      <c r="W437" s="321"/>
      <c r="X437" s="321"/>
      <c r="Y437" s="321"/>
      <c r="Z437" s="321"/>
      <c r="AA437" s="321"/>
      <c r="AB437" s="321"/>
      <c r="AC437" s="321"/>
      <c r="AD437" s="321"/>
      <c r="AE437" s="321"/>
      <c r="AF437" s="321"/>
      <c r="AG437" s="321"/>
      <c r="AH437" s="321"/>
      <c r="AI437" s="321"/>
      <c r="AJ437" s="321"/>
      <c r="AK437" s="321"/>
      <c r="AL437" s="321"/>
      <c r="AM437" s="321"/>
      <c r="AN437" s="321"/>
      <c r="AO437" s="321"/>
      <c r="AP437" s="321"/>
      <c r="AQ437" s="321"/>
      <c r="AR437" s="321"/>
      <c r="AS437" s="321"/>
      <c r="AT437" s="321"/>
      <c r="AU437" s="321"/>
      <c r="AV437" s="321"/>
      <c r="AW437" s="321"/>
    </row>
  </sheetData>
  <sheetProtection algorithmName="SHA-512" hashValue="cdWX6sXJ9omUDYFTruCc7lDM2v3V9DOv/gKLbf/GtdF+twFVeD8RoOV48kjNLTbndJ6MjASMENRoi0PvsbaLKw==" saltValue="B0w9NxYKNDCQtis43cl86g==" spinCount="100000" sheet="1"/>
  <mergeCells count="37">
    <mergeCell ref="M42:O42"/>
    <mergeCell ref="A1:Q1"/>
    <mergeCell ref="A2:Q2"/>
    <mergeCell ref="C11:F11"/>
    <mergeCell ref="G11:J11"/>
    <mergeCell ref="L11:N11"/>
    <mergeCell ref="P11:Q11"/>
    <mergeCell ref="W74:W75"/>
    <mergeCell ref="X74:Z74"/>
    <mergeCell ref="X75:Z75"/>
    <mergeCell ref="AM68:AQ68"/>
    <mergeCell ref="AM67:AQ67"/>
    <mergeCell ref="AM69:AQ69"/>
    <mergeCell ref="X67:AB67"/>
    <mergeCell ref="X69:AB69"/>
    <mergeCell ref="X68:AB68"/>
    <mergeCell ref="V60:AD60"/>
    <mergeCell ref="V61:AD61"/>
    <mergeCell ref="AK60:AS60"/>
    <mergeCell ref="AK61:AS61"/>
    <mergeCell ref="V71:AD71"/>
    <mergeCell ref="AK78:AU78"/>
    <mergeCell ref="AK79:AU79"/>
    <mergeCell ref="V78:AF78"/>
    <mergeCell ref="V79:AF79"/>
    <mergeCell ref="T57:AG57"/>
    <mergeCell ref="AI57:AV57"/>
    <mergeCell ref="AK71:AS71"/>
    <mergeCell ref="AL74:AL75"/>
    <mergeCell ref="AM74:AO74"/>
    <mergeCell ref="AM75:AO75"/>
    <mergeCell ref="AK62:AS62"/>
    <mergeCell ref="AM65:AQ65"/>
    <mergeCell ref="AM66:AQ66"/>
    <mergeCell ref="V62:AD62"/>
    <mergeCell ref="X65:AB65"/>
    <mergeCell ref="X66:AB66"/>
  </mergeCells>
  <pageMargins left="0.7" right="0.7" top="0.75" bottom="0.75" header="0.3" footer="0.3"/>
  <pageSetup paperSize="5"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600A7-CD5D-41A2-8D04-78A541F8F060}">
  <sheetPr>
    <tabColor rgb="FF7030A0"/>
    <pageSetUpPr fitToPage="1"/>
  </sheetPr>
  <dimension ref="A1:X44"/>
  <sheetViews>
    <sheetView showGridLines="0" zoomScale="90" zoomScaleNormal="90" workbookViewId="0">
      <pane ySplit="12" topLeftCell="A13" activePane="bottomLeft" state="frozen"/>
      <selection activeCell="A2" sqref="A2"/>
      <selection pane="bottomLeft" sqref="A1:Q1"/>
    </sheetView>
  </sheetViews>
  <sheetFormatPr defaultRowHeight="14.4"/>
  <cols>
    <col min="1" max="1" width="4.77734375" customWidth="1"/>
    <col min="2" max="2" width="8.77734375" customWidth="1"/>
    <col min="3" max="3" width="10.77734375" customWidth="1"/>
    <col min="4" max="4" width="13.77734375" bestFit="1" customWidth="1"/>
    <col min="5" max="5" width="9.77734375" customWidth="1"/>
    <col min="6" max="6" width="17.77734375" bestFit="1" customWidth="1"/>
    <col min="7" max="7" width="10.77734375" customWidth="1"/>
    <col min="8" max="8" width="14.77734375" customWidth="1"/>
    <col min="9" max="9" width="9.77734375" customWidth="1"/>
    <col min="10" max="10" width="18.77734375" customWidth="1"/>
    <col min="11" max="11" width="17.77734375" bestFit="1" customWidth="1"/>
    <col min="12" max="14" width="14.33203125" customWidth="1"/>
    <col min="15" max="15" width="17.77734375" bestFit="1" customWidth="1"/>
    <col min="16" max="16" width="9.88671875" customWidth="1"/>
    <col min="17" max="17" width="18.44140625" bestFit="1" customWidth="1"/>
    <col min="19" max="19" width="13.21875" customWidth="1"/>
    <col min="20" max="20" width="7.88671875" customWidth="1"/>
    <col min="21" max="21" width="9.21875" customWidth="1"/>
    <col min="22" max="22" width="11.5546875" bestFit="1" customWidth="1"/>
  </cols>
  <sheetData>
    <row r="1" spans="1:21" ht="25.2" customHeight="1">
      <c r="A1" s="575" t="s">
        <v>2</v>
      </c>
      <c r="B1" s="575"/>
      <c r="C1" s="575"/>
      <c r="D1" s="575"/>
      <c r="E1" s="575"/>
      <c r="F1" s="575"/>
      <c r="G1" s="575"/>
      <c r="H1" s="575"/>
      <c r="I1" s="575"/>
      <c r="J1" s="575"/>
      <c r="K1" s="575"/>
      <c r="L1" s="575"/>
      <c r="M1" s="575"/>
      <c r="N1" s="575"/>
      <c r="O1" s="575"/>
      <c r="P1" s="575"/>
      <c r="Q1" s="575"/>
    </row>
    <row r="2" spans="1:21" ht="20" customHeight="1">
      <c r="A2" s="575" t="s">
        <v>130</v>
      </c>
      <c r="B2" s="575"/>
      <c r="C2" s="575"/>
      <c r="D2" s="575"/>
      <c r="E2" s="575"/>
      <c r="F2" s="575"/>
      <c r="G2" s="575"/>
      <c r="H2" s="575"/>
      <c r="I2" s="575"/>
      <c r="J2" s="575"/>
      <c r="K2" s="575"/>
      <c r="L2" s="575"/>
      <c r="M2" s="575"/>
      <c r="N2" s="575"/>
      <c r="O2" s="575"/>
      <c r="P2" s="575"/>
      <c r="Q2" s="575"/>
    </row>
    <row r="3" spans="1:21" ht="15.05" customHeight="1"/>
    <row r="4" spans="1:21" ht="15.05" customHeight="1"/>
    <row r="5" spans="1:21" ht="15.05" customHeight="1">
      <c r="B5" s="93" t="str">
        <f>+CALCULATIONS!B5</f>
        <v xml:space="preserve">Tax Year: </v>
      </c>
      <c r="C5" s="95"/>
      <c r="D5" s="89">
        <f>+CALCULATIONS!D5</f>
        <v>2024</v>
      </c>
      <c r="E5" s="95"/>
      <c r="F5" s="95" t="str">
        <f>+CALCULATIONS!F5</f>
        <v>Property Name:</v>
      </c>
      <c r="G5" s="89" t="str">
        <f>+CALCULATIONS!G5</f>
        <v>EXAMPLE LEASE</v>
      </c>
      <c r="H5" s="95"/>
      <c r="I5" s="95"/>
      <c r="J5" s="88" t="str">
        <f>+CALCULATIONS!J5</f>
        <v xml:space="preserve">Working Interest: </v>
      </c>
      <c r="K5" s="96">
        <f>+CALCULATIONS!K5</f>
        <v>0.75</v>
      </c>
      <c r="L5" s="95" t="str">
        <f>+CALCULATIONS!L5</f>
        <v xml:space="preserve">Oil Start Rate on Jan. 1 (bopd): </v>
      </c>
      <c r="M5" s="95"/>
      <c r="N5" s="91">
        <f>+CALCULATIONS!N5</f>
        <v>100</v>
      </c>
      <c r="O5" s="88" t="str">
        <f>+CALCULATIONS!O5</f>
        <v>Max bbls reserves (optional):</v>
      </c>
      <c r="P5" s="95"/>
      <c r="Q5" s="90" t="str">
        <f>+CALCULATIONS!Q5</f>
        <v>N/A</v>
      </c>
    </row>
    <row r="6" spans="1:21" ht="15.05" customHeight="1">
      <c r="B6" s="93" t="str">
        <f>+CALCULATIONS!B6</f>
        <v>Parish ID1:</v>
      </c>
      <c r="C6" s="95"/>
      <c r="D6" s="89">
        <f>+CALCULATIONS!D6</f>
        <v>99999</v>
      </c>
      <c r="E6" s="95"/>
      <c r="F6" s="95" t="str">
        <f>+CALCULATIONS!F6</f>
        <v>Operator:</v>
      </c>
      <c r="G6" s="89" t="str">
        <f>+CALCULATIONS!G6</f>
        <v>EXAMPLE OPERATOR</v>
      </c>
      <c r="H6" s="95"/>
      <c r="I6" s="95"/>
      <c r="J6" s="88" t="str">
        <f>+CALCULATIONS!J6</f>
        <v xml:space="preserve">Number of Wells: </v>
      </c>
      <c r="K6" s="90">
        <f>+CALCULATIONS!K6</f>
        <v>1</v>
      </c>
      <c r="L6" s="95" t="str">
        <f>+CALCULATIONS!L6</f>
        <v xml:space="preserve">Gas Start Rate on Jan. 1 (mcfpd): </v>
      </c>
      <c r="M6" s="95"/>
      <c r="N6" s="90">
        <f>+CALCULATIONS!N6</f>
        <v>1000</v>
      </c>
      <c r="O6" s="88" t="str">
        <f>+CALCULATIONS!O6</f>
        <v>Max MCFs reserves (optional):</v>
      </c>
      <c r="P6" s="95"/>
      <c r="Q6" s="90" t="str">
        <f>+CALCULATIONS!Q6</f>
        <v>N/A</v>
      </c>
    </row>
    <row r="7" spans="1:21" ht="15.05" customHeight="1">
      <c r="B7" s="93" t="str">
        <f>+CALCULATIONS!B7</f>
        <v>Parish ID2:</v>
      </c>
      <c r="C7" s="95"/>
      <c r="D7" s="89" t="str">
        <f>+CALCULATIONS!D7</f>
        <v>9999/99-55</v>
      </c>
      <c r="E7" s="95"/>
      <c r="F7" s="95" t="str">
        <f>+CALCULATIONS!F7</f>
        <v xml:space="preserve">Type (Oil/Gas): </v>
      </c>
      <c r="G7" s="89" t="str">
        <f>+CALCULATIONS!G7</f>
        <v>OIL</v>
      </c>
      <c r="H7" s="95"/>
      <c r="I7" s="95"/>
      <c r="J7" s="88" t="str">
        <f>+CALCULATIONS!J7</f>
        <v xml:space="preserve">Avg Depth (feet): </v>
      </c>
      <c r="K7" s="90">
        <f>+CALCULATIONS!K7</f>
        <v>15854</v>
      </c>
      <c r="L7" s="95" t="str">
        <f>+CALCULATIONS!L7</f>
        <v>Hyperbolic initial decline rate (%):</v>
      </c>
      <c r="M7" s="95"/>
      <c r="N7" s="415" t="str">
        <f>+CALCULATIONS!N7</f>
        <v>N/A</v>
      </c>
      <c r="O7" s="88" t="str">
        <f>+CALCULATIONS!O7</f>
        <v xml:space="preserve">Max years for DCF (optional): </v>
      </c>
      <c r="P7" s="95"/>
      <c r="Q7" s="90" t="str">
        <f>+CALCULATIONS!Q7</f>
        <v>N/A</v>
      </c>
    </row>
    <row r="8" spans="1:21" ht="15.05" customHeight="1">
      <c r="B8" s="93" t="str">
        <f>+CALCULATIONS!B8</f>
        <v>LUW Code:</v>
      </c>
      <c r="C8" s="95"/>
      <c r="D8" s="89">
        <f>+CALCULATIONS!D8</f>
        <v>999999</v>
      </c>
      <c r="E8" s="95"/>
      <c r="F8" s="95" t="str">
        <f>+CALCULATIONS!F8</f>
        <v>Horizontal Well(s)?</v>
      </c>
      <c r="G8" s="89" t="str">
        <f>+CALCULATIONS!G8</f>
        <v>NO</v>
      </c>
      <c r="H8" s="95"/>
      <c r="I8" s="418" t="s">
        <v>290</v>
      </c>
      <c r="K8" s="92">
        <f>+CALCULATIONS!K8</f>
        <v>80</v>
      </c>
      <c r="L8" s="95" t="str">
        <f>+CALCULATIONS!L8</f>
        <v>Hyperbolic exponent "b" factor:</v>
      </c>
      <c r="M8" s="95"/>
      <c r="N8" s="416" t="str">
        <f>+CALCULATIONS!N8</f>
        <v>N/A</v>
      </c>
      <c r="O8" s="88"/>
      <c r="P8" s="95"/>
      <c r="Q8" s="95"/>
    </row>
    <row r="9" spans="1:21" ht="15.05" customHeight="1">
      <c r="B9" s="93" t="str">
        <f>+CALCULATIONS!B9</f>
        <v>Well Serial Number:</v>
      </c>
      <c r="C9" s="95"/>
      <c r="D9" s="89">
        <f>+CALCULATIONS!D9</f>
        <v>9999999999</v>
      </c>
      <c r="E9" s="95"/>
      <c r="F9" s="95" t="str">
        <f>+CALCULATIONS!F9</f>
        <v xml:space="preserve">Onshore/Offshore: </v>
      </c>
      <c r="G9" s="89" t="str">
        <f>+CALCULATIONS!G9</f>
        <v>ONSHORE</v>
      </c>
      <c r="H9" s="95"/>
      <c r="I9" s="418" t="s">
        <v>291</v>
      </c>
      <c r="K9" s="92">
        <f>+CALCULATIONS!K9</f>
        <v>3</v>
      </c>
      <c r="L9" s="95" t="str">
        <f>+CALCULATIONS!L9</f>
        <v>Hyperbolic terminal decline (%):</v>
      </c>
      <c r="M9" s="95"/>
      <c r="N9" s="415" t="str">
        <f>+CALCULATIONS!N9</f>
        <v>N/A</v>
      </c>
      <c r="O9" s="95"/>
      <c r="P9" s="95"/>
      <c r="Q9" s="95"/>
    </row>
    <row r="10" spans="1:21" ht="15.05" customHeight="1" thickBot="1"/>
    <row r="11" spans="1:21" ht="17.2" customHeight="1" thickBot="1">
      <c r="C11" s="577" t="s">
        <v>114</v>
      </c>
      <c r="D11" s="578"/>
      <c r="E11" s="578"/>
      <c r="F11" s="579"/>
      <c r="G11" s="580" t="s">
        <v>115</v>
      </c>
      <c r="H11" s="581"/>
      <c r="I11" s="581"/>
      <c r="J11" s="582"/>
      <c r="K11" s="94"/>
      <c r="L11" s="583" t="s">
        <v>88</v>
      </c>
      <c r="M11" s="584"/>
      <c r="N11" s="585"/>
      <c r="O11" s="94"/>
      <c r="P11" s="586" t="s">
        <v>113</v>
      </c>
      <c r="Q11" s="587"/>
    </row>
    <row r="12" spans="1:21" ht="45" customHeight="1" thickBot="1">
      <c r="A12" s="5"/>
      <c r="B12" s="55" t="s">
        <v>20</v>
      </c>
      <c r="C12" s="56" t="s">
        <v>9</v>
      </c>
      <c r="D12" s="57" t="s">
        <v>15</v>
      </c>
      <c r="E12" s="57" t="s">
        <v>16</v>
      </c>
      <c r="F12" s="58" t="s">
        <v>46</v>
      </c>
      <c r="G12" s="56" t="s">
        <v>8</v>
      </c>
      <c r="H12" s="57" t="s">
        <v>51</v>
      </c>
      <c r="I12" s="57" t="s">
        <v>50</v>
      </c>
      <c r="J12" s="58" t="s">
        <v>17</v>
      </c>
      <c r="K12" s="59" t="s">
        <v>18</v>
      </c>
      <c r="L12" s="56" t="s">
        <v>49</v>
      </c>
      <c r="M12" s="57" t="s">
        <v>19</v>
      </c>
      <c r="N12" s="58" t="s">
        <v>48</v>
      </c>
      <c r="O12" s="60" t="s">
        <v>47</v>
      </c>
      <c r="P12" s="56" t="s">
        <v>0</v>
      </c>
      <c r="Q12" s="58" t="s">
        <v>72</v>
      </c>
      <c r="S12" s="37" t="s">
        <v>79</v>
      </c>
      <c r="T12" s="37" t="s">
        <v>81</v>
      </c>
      <c r="U12" s="37" t="s">
        <v>80</v>
      </c>
    </row>
    <row r="13" spans="1:21" ht="17.2" customHeight="1">
      <c r="A13" s="6">
        <f>IF((CALCULATIONS!$K13-CALCULATIONS!$L13)&gt;0,+CALCULATIONS!A13,"")</f>
        <v>1</v>
      </c>
      <c r="B13" s="1">
        <f>IF((CALCULATIONS!$K13-CALCULATIONS!$L13)&gt;0,+CALCULATIONS!B13,"")</f>
        <v>2024</v>
      </c>
      <c r="C13" s="30">
        <f>IF((CALCULATIONS!$K13-CALCULATIONS!$L13)&gt;0,+CALCULATIONS!C13,"")</f>
        <v>0.5</v>
      </c>
      <c r="D13" s="43">
        <f>IF((CALCULATIONS!$K13-CALCULATIONS!$L13)&gt;0,+CALCULATIONS!D13,0)</f>
        <v>25809.397513308988</v>
      </c>
      <c r="E13" s="27">
        <f>IF((CALCULATIONS!$K13-CALCULATIONS!$L13)&gt;0,+CALCULATIONS!E13,0)</f>
        <v>80.424000000000007</v>
      </c>
      <c r="F13" s="15">
        <f>IF((CALCULATIONS!$K13-CALCULATIONS!$L13)&gt;0,+CALCULATIONS!F13,0)</f>
        <v>1323255.5533266058</v>
      </c>
      <c r="G13" s="30">
        <f>IF((CALCULATIONS!$K13-CALCULATIONS!$L13)&gt;0,+CALCULATIONS!G13,"")</f>
        <v>0.6</v>
      </c>
      <c r="H13" s="46">
        <f>IF((CALCULATIONS!$K13-CALCULATIONS!$L13)&gt;0,+CALCULATIONS!H13,0)</f>
        <v>230846.26919229169</v>
      </c>
      <c r="I13" s="27">
        <f>IF((CALCULATIONS!$K13-CALCULATIONS!$L13)&gt;0,+CALCULATIONS!I13,0)</f>
        <v>3.1415999999999995</v>
      </c>
      <c r="J13" s="15">
        <f>IF((CALCULATIONS!$K13-CALCULATIONS!$L13)&gt;0,+CALCULATIONS!J13,0)</f>
        <v>489527.98152378987</v>
      </c>
      <c r="K13" s="20">
        <f>IF((CALCULATIONS!$K13-CALCULATIONS!$L13)&gt;0,+CALCULATIONS!K13,0)</f>
        <v>1812783.5348503958</v>
      </c>
      <c r="L13" s="21">
        <f>IF((CALCULATIONS!$K13-CALCULATIONS!$L13)&gt;0,+CALCULATIONS!L13,0)</f>
        <v>200353.33333333334</v>
      </c>
      <c r="M13" s="14">
        <f>IF((CALCULATIONS!$K13-CALCULATIONS!$L13)&gt;0,+CALCULATIONS!M13,0)</f>
        <v>50000</v>
      </c>
      <c r="N13" s="15">
        <f>IF((CALCULATIONS!$K13-CALCULATIONS!$L13)&gt;0,+CALCULATIONS!N13,0)</f>
        <v>250353.33333333334</v>
      </c>
      <c r="O13" s="20">
        <f>IF((CALCULATIONS!$K13-CALCULATIONS!$L13)&gt;0,+CALCULATIONS!O13,0)</f>
        <v>1562430.2015170625</v>
      </c>
      <c r="P13" s="61">
        <f>IF((CALCULATIONS!$K13-CALCULATIONS!$L13)&gt;0,+CALCULATIONS!P13,"N/A ")</f>
        <v>0.93250480824031379</v>
      </c>
      <c r="Q13" s="15">
        <f>IF((CALCULATIONS!$K13-CALCULATIONS!$L13)&gt;0,+CALCULATIONS!Q13,0)</f>
        <v>1456973.6754545432</v>
      </c>
      <c r="S13" s="34">
        <f>+O13</f>
        <v>1562430.2015170625</v>
      </c>
      <c r="T13" s="35">
        <f>IF(S13&lt;$Q$38,1,0)</f>
        <v>1</v>
      </c>
      <c r="U13" s="236">
        <f>IF(Q13=Q38,+P13,IF(T13=0,+($Q$38-S12)/(S13-S12),0))</f>
        <v>0</v>
      </c>
    </row>
    <row r="14" spans="1:21" ht="15.05" customHeight="1">
      <c r="A14" s="6">
        <f>IF((CALCULATIONS!$K14-CALCULATIONS!$L14)&gt;0,+CALCULATIONS!A14,"")</f>
        <v>2</v>
      </c>
      <c r="B14" s="2">
        <f>IF((CALCULATIONS!$K14-CALCULATIONS!$L14)&gt;0,+CALCULATIONS!B14,"")</f>
        <v>2025</v>
      </c>
      <c r="C14" s="31">
        <f>IF((CALCULATIONS!$K14-CALCULATIONS!$L14)&gt;0,+CALCULATIONS!C14,"")</f>
        <v>0.3</v>
      </c>
      <c r="D14" s="44">
        <f>IF((CALCULATIONS!$K14-CALCULATIONS!$L14)&gt;0,+CALCULATIONS!D14,0)</f>
        <v>15269.045484246883</v>
      </c>
      <c r="E14" s="28">
        <f>IF((CALCULATIONS!$K14-CALCULATIONS!$L14)&gt;0,+CALCULATIONS!E14,0)</f>
        <v>77.207040000000006</v>
      </c>
      <c r="F14" s="17">
        <f>IF((CALCULATIONS!$K14-CALCULATIONS!$L14)&gt;0,+CALCULATIONS!F14,0)</f>
        <v>751534.60098334367</v>
      </c>
      <c r="G14" s="31">
        <f>IF((CALCULATIONS!$K14-CALCULATIONS!$L14)&gt;0,+CALCULATIONS!G14,"")</f>
        <v>0.4</v>
      </c>
      <c r="H14" s="47">
        <f>IF((CALCULATIONS!$K14-CALCULATIONS!$L14)&gt;0,+CALCULATIONS!H14,0)</f>
        <v>113091.11370925658</v>
      </c>
      <c r="I14" s="28">
        <f>IF((CALCULATIONS!$K14-CALCULATIONS!$L14)&gt;0,+CALCULATIONS!I14,0)</f>
        <v>3.454503359999999</v>
      </c>
      <c r="J14" s="17">
        <f>IF((CALCULATIONS!$K14-CALCULATIONS!$L14)&gt;0,+CALCULATIONS!J14,0)</f>
        <v>263704.70179896895</v>
      </c>
      <c r="K14" s="22">
        <f>IF((CALCULATIONS!$K14-CALCULATIONS!$L14)&gt;0,+CALCULATIONS!K14,0)</f>
        <v>1015239.3027823126</v>
      </c>
      <c r="L14" s="23">
        <f>IF((CALCULATIONS!$K14-CALCULATIONS!$L14)&gt;0,+CALCULATIONS!L14,0)</f>
        <v>197681.95555555556</v>
      </c>
      <c r="M14" s="16">
        <f>IF((CALCULATIONS!$K14-CALCULATIONS!$L14)&gt;0,+CALCULATIONS!M14,0)</f>
        <v>0</v>
      </c>
      <c r="N14" s="17">
        <f>IF((CALCULATIONS!$K14-CALCULATIONS!$L14)&gt;0,+CALCULATIONS!N14,0)</f>
        <v>197681.95555555556</v>
      </c>
      <c r="O14" s="22">
        <f>IF((CALCULATIONS!$K14-CALCULATIONS!$L14)&gt;0,+CALCULATIONS!O14,0)</f>
        <v>817557.34722675709</v>
      </c>
      <c r="P14" s="62">
        <f>IF((CALCULATIONS!$K14-CALCULATIONS!$L14)&gt;0,+CALCULATIONS!P14,"N/A ")</f>
        <v>0.81087374629592512</v>
      </c>
      <c r="Q14" s="63">
        <f>IF((CALCULATIONS!$K14-CALCULATIONS!$L14)&gt;0,+CALCULATIONS!Q14,0)</f>
        <v>662935.78895751899</v>
      </c>
      <c r="S14" s="34">
        <f>+S13+O14</f>
        <v>2379987.5487438198</v>
      </c>
      <c r="T14" s="35">
        <f t="shared" ref="T14:T37" si="0">IF(S14&lt;$Q$38,1,0)</f>
        <v>1</v>
      </c>
      <c r="U14" s="236">
        <f>IF(T13=0,0,IF(T14=0,+($Q$38-S13)/(S14-S13),0))</f>
        <v>0</v>
      </c>
    </row>
    <row r="15" spans="1:21" ht="15.05" customHeight="1">
      <c r="A15" s="6">
        <f>IF((CALCULATIONS!$K15-CALCULATIONS!$L15)&gt;0,+CALCULATIONS!A15,"")</f>
        <v>3</v>
      </c>
      <c r="B15" s="2">
        <f>IF((CALCULATIONS!$K15-CALCULATIONS!$L15)&gt;0,+CALCULATIONS!B15,"")</f>
        <v>2026</v>
      </c>
      <c r="C15" s="31">
        <f>IF((CALCULATIONS!$K15-CALCULATIONS!$L15)&gt;0,+CALCULATIONS!C15,"")</f>
        <v>0.2</v>
      </c>
      <c r="D15" s="44">
        <f>IF((CALCULATIONS!$K15-CALCULATIONS!$L15)&gt;0,+CALCULATIONS!D15,0)</f>
        <v>11426.307365023928</v>
      </c>
      <c r="E15" s="28">
        <f>IF((CALCULATIONS!$K15-CALCULATIONS!$L15)&gt;0,+CALCULATIONS!E15,0)</f>
        <v>73.995227136000011</v>
      </c>
      <c r="F15" s="17">
        <f>IF((CALCULATIONS!$K15-CALCULATIONS!$L15)&gt;0,+CALCULATIONS!F15,0)</f>
        <v>539001.28311044327</v>
      </c>
      <c r="G15" s="31">
        <f>IF((CALCULATIONS!$K15-CALCULATIONS!$L15)&gt;0,+CALCULATIONS!G15,"")</f>
        <v>0.3</v>
      </c>
      <c r="H15" s="47">
        <f>IF((CALCULATIONS!$K15-CALCULATIONS!$L15)&gt;0,+CALCULATIONS!H15,0)</f>
        <v>73291.418324385013</v>
      </c>
      <c r="I15" s="28">
        <f>IF((CALCULATIONS!$K15-CALCULATIONS!$L15)&gt;0,+CALCULATIONS!I15,0)</f>
        <v>3.7674813644159988</v>
      </c>
      <c r="J15" s="17">
        <f>IF((CALCULATIONS!$K15-CALCULATIONS!$L15)&gt;0,+CALCULATIONS!J15,0)</f>
        <v>186383.73557839802</v>
      </c>
      <c r="K15" s="22">
        <f>IF((CALCULATIONS!$K15-CALCULATIONS!$L15)&gt;0,+CALCULATIONS!K15,0)</f>
        <v>725385.01868884126</v>
      </c>
      <c r="L15" s="23">
        <f>IF((CALCULATIONS!$K15-CALCULATIONS!$L15)&gt;0,+CALCULATIONS!L15,0)</f>
        <v>194940.76577185185</v>
      </c>
      <c r="M15" s="16">
        <f>IF((CALCULATIONS!$K15-CALCULATIONS!$L15)&gt;0,+CALCULATIONS!M15,0)</f>
        <v>0</v>
      </c>
      <c r="N15" s="17">
        <f>IF((CALCULATIONS!$K15-CALCULATIONS!$L15)&gt;0,+CALCULATIONS!N15,0)</f>
        <v>194940.76577185185</v>
      </c>
      <c r="O15" s="22">
        <f>IF((CALCULATIONS!$K15-CALCULATIONS!$L15)&gt;0,+CALCULATIONS!O15,0)</f>
        <v>530444.25291698938</v>
      </c>
      <c r="P15" s="62">
        <f>IF((CALCULATIONS!$K15-CALCULATIONS!$L15)&gt;0,+CALCULATIONS!P15,"N/A ")</f>
        <v>0.70510760547471751</v>
      </c>
      <c r="Q15" s="63">
        <f>IF((CALCULATIONS!$K15-CALCULATIONS!$L15)&gt;0,+CALCULATIONS!Q15,0)</f>
        <v>374020.27701212384</v>
      </c>
      <c r="S15" s="34">
        <f t="shared" ref="S15:S37" si="1">+S14+O15</f>
        <v>2910431.8016608092</v>
      </c>
      <c r="T15" s="35">
        <f t="shared" si="0"/>
        <v>1</v>
      </c>
      <c r="U15" s="236">
        <f>IF(T14=0,0,IF(T15=0,+($Q$38-S14)/(S15-S14),0))</f>
        <v>0</v>
      </c>
    </row>
    <row r="16" spans="1:21" ht="15.05" customHeight="1">
      <c r="A16" s="6">
        <f>IF((CALCULATIONS!$K16-CALCULATIONS!$L16)&gt;0,+CALCULATIONS!A16,"")</f>
        <v>4</v>
      </c>
      <c r="B16" s="2">
        <f>IF((CALCULATIONS!$K16-CALCULATIONS!$L16)&gt;0,+CALCULATIONS!B16,"")</f>
        <v>2027</v>
      </c>
      <c r="C16" s="31">
        <f>IF((CALCULATIONS!$K16-CALCULATIONS!$L16)&gt;0,+CALCULATIONS!C16,"")</f>
        <v>0.15</v>
      </c>
      <c r="D16" s="44">
        <f>IF((CALCULATIONS!$K16-CALCULATIONS!$L16)&gt;0,+CALCULATIONS!D16,0)</f>
        <v>9422.374435353333</v>
      </c>
      <c r="E16" s="28">
        <f>IF((CALCULATIONS!$K16-CALCULATIONS!$L16)&gt;0,+CALCULATIONS!E16,0)</f>
        <v>70.783834278297604</v>
      </c>
      <c r="F16" s="17">
        <f>IF((CALCULATIONS!$K16-CALCULATIONS!$L16)&gt;0,+CALCULATIONS!F16,0)</f>
        <v>425181.7664693254</v>
      </c>
      <c r="G16" s="31">
        <f>IF((CALCULATIONS!$K16-CALCULATIONS!$L16)&gt;0,+CALCULATIONS!G16,"")</f>
        <v>0.2</v>
      </c>
      <c r="H16" s="47">
        <f>IF((CALCULATIONS!$K16-CALCULATIONS!$L16)&gt;0,+CALCULATIONS!H16,0)</f>
        <v>54846.275352114841</v>
      </c>
      <c r="I16" s="28">
        <f>IF((CALCULATIONS!$K16-CALCULATIONS!$L16)&gt;0,+CALCULATIONS!I16,0)</f>
        <v>4.0805590657989681</v>
      </c>
      <c r="J16" s="17">
        <f>IF((CALCULATIONS!$K16-CALCULATIONS!$L16)&gt;0,+CALCULATIONS!J16,0)</f>
        <v>151067.33962653065</v>
      </c>
      <c r="K16" s="22">
        <f>IF((CALCULATIONS!$K16-CALCULATIONS!$L16)&gt;0,+CALCULATIONS!K16,0)</f>
        <v>576249.10609585606</v>
      </c>
      <c r="L16" s="23">
        <f>IF((CALCULATIONS!$K16-CALCULATIONS!$L16)&gt;0,+CALCULATIONS!L16,0)</f>
        <v>192120.62269368573</v>
      </c>
      <c r="M16" s="16">
        <f>IF((CALCULATIONS!$K16-CALCULATIONS!$L16)&gt;0,+CALCULATIONS!M16,0)</f>
        <v>0</v>
      </c>
      <c r="N16" s="17">
        <f>IF((CALCULATIONS!$K16-CALCULATIONS!$L16)&gt;0,+CALCULATIONS!N16,0)</f>
        <v>192120.62269368573</v>
      </c>
      <c r="O16" s="22">
        <f>IF((CALCULATIONS!$K16-CALCULATIONS!$L16)&gt;0,+CALCULATIONS!O16,0)</f>
        <v>384128.48340217036</v>
      </c>
      <c r="P16" s="62">
        <f>IF((CALCULATIONS!$K16-CALCULATIONS!$L16)&gt;0,+CALCULATIONS!P16,"N/A ")</f>
        <v>0.61313704823888482</v>
      </c>
      <c r="Q16" s="63">
        <f>IF((CALCULATIONS!$K16-CALCULATIONS!$L16)&gt;0,+CALCULATIONS!Q16,0)</f>
        <v>235523.40445768621</v>
      </c>
      <c r="S16" s="34">
        <f t="shared" si="1"/>
        <v>3294560.2850629794</v>
      </c>
      <c r="T16" s="35">
        <f t="shared" si="0"/>
        <v>0</v>
      </c>
      <c r="U16" s="236">
        <f>IF(T15=0,0,IF(T16=0,+($Q$38-S15)/(S16-S15),0))</f>
        <v>0.77135910717186984</v>
      </c>
    </row>
    <row r="17" spans="1:21" ht="15.05" customHeight="1">
      <c r="A17" s="6">
        <f>IF((CALCULATIONS!$K17-CALCULATIONS!$L17)&gt;0,+CALCULATIONS!A17,"")</f>
        <v>5</v>
      </c>
      <c r="B17" s="2">
        <f>IF((CALCULATIONS!$K17-CALCULATIONS!$L17)&gt;0,+CALCULATIONS!B17,"")</f>
        <v>2028</v>
      </c>
      <c r="C17" s="31">
        <f>IF((CALCULATIONS!$K17-CALCULATIONS!$L17)&gt;0,+CALCULATIONS!C17,"")</f>
        <v>0.1</v>
      </c>
      <c r="D17" s="44">
        <f>IF((CALCULATIONS!$K17-CALCULATIONS!$L17)&gt;0,+CALCULATIONS!D17,0)</f>
        <v>8241.2118101648157</v>
      </c>
      <c r="E17" s="28">
        <f>IF((CALCULATIONS!$K17-CALCULATIONS!$L17)&gt;0,+CALCULATIONS!E17,0)</f>
        <v>67.570248202062899</v>
      </c>
      <c r="F17" s="17">
        <f>IF((CALCULATIONS!$K17-CALCULATIONS!$L17)&gt;0,+CALCULATIONS!F17,0)</f>
        <v>354998.71378036303</v>
      </c>
      <c r="G17" s="31">
        <f>IF((CALCULATIONS!$K17-CALCULATIONS!$L17)&gt;0,+CALCULATIONS!G17,"")</f>
        <v>0.15</v>
      </c>
      <c r="H17" s="47">
        <f>IF((CALCULATIONS!$K17-CALCULATIONS!$L17)&gt;0,+CALCULATIONS!H17,0)</f>
        <v>45227.397289695989</v>
      </c>
      <c r="I17" s="28">
        <f>IF((CALCULATIONS!$K17-CALCULATIONS!$L17)&gt;0,+CALCULATIONS!I17,0)</f>
        <v>4.3935379461457487</v>
      </c>
      <c r="J17" s="17">
        <f>IF((CALCULATIONS!$K17-CALCULATIONS!$L17)&gt;0,+CALCULATIONS!J17,0)</f>
        <v>134128.09318343989</v>
      </c>
      <c r="K17" s="22">
        <f>IF((CALCULATIONS!$K17-CALCULATIONS!$L17)&gt;0,+CALCULATIONS!K17,0)</f>
        <v>489126.8069638029</v>
      </c>
      <c r="L17" s="23">
        <f>IF((CALCULATIONS!$K17-CALCULATIONS!$L17)&gt;0,+CALCULATIONS!L17,0)</f>
        <v>189213.1972702546</v>
      </c>
      <c r="M17" s="16">
        <f>IF((CALCULATIONS!$K17-CALCULATIONS!$L17)&gt;0,+CALCULATIONS!M17,0)</f>
        <v>0</v>
      </c>
      <c r="N17" s="17">
        <f>IF((CALCULATIONS!$K17-CALCULATIONS!$L17)&gt;0,+CALCULATIONS!N17,0)</f>
        <v>189213.1972702546</v>
      </c>
      <c r="O17" s="22">
        <f>IF((CALCULATIONS!$K17-CALCULATIONS!$L17)&gt;0,+CALCULATIONS!O17,0)</f>
        <v>299913.60969354829</v>
      </c>
      <c r="P17" s="62">
        <f>IF((CALCULATIONS!$K17-CALCULATIONS!$L17)&gt;0,+CALCULATIONS!P17,"N/A ")</f>
        <v>0.53316265064250867</v>
      </c>
      <c r="Q17" s="63">
        <f>IF((CALCULATIONS!$K17-CALCULATIONS!$L17)&gt;0,+CALCULATIONS!Q17,0)</f>
        <v>159902.73510797499</v>
      </c>
      <c r="S17" s="34">
        <f t="shared" si="1"/>
        <v>3594473.8947565276</v>
      </c>
      <c r="T17" s="35">
        <f t="shared" si="0"/>
        <v>0</v>
      </c>
      <c r="U17" s="236">
        <f>IF(T16=0,0,IF(T17=0,+($Q$38-S16)/(S17-S16),0))</f>
        <v>0</v>
      </c>
    </row>
    <row r="18" spans="1:21" ht="21.95" customHeight="1">
      <c r="A18" s="6">
        <f>IF((CALCULATIONS!$K18-CALCULATIONS!$L18)&gt;0,+CALCULATIONS!A18,"")</f>
        <v>6</v>
      </c>
      <c r="B18" s="2">
        <f>IF((CALCULATIONS!$K18-CALCULATIONS!$L18)&gt;0,+CALCULATIONS!B18,"")</f>
        <v>2029</v>
      </c>
      <c r="C18" s="31">
        <f>IF((CALCULATIONS!$K18-CALCULATIONS!$L18)&gt;0,+CALCULATIONS!C18,"")</f>
        <v>0.1</v>
      </c>
      <c r="D18" s="44">
        <f>IF((CALCULATIONS!$K18-CALCULATIONS!$L18)&gt;0,+CALCULATIONS!D18,0)</f>
        <v>7417.0906291483334</v>
      </c>
      <c r="E18" s="28">
        <f>IF((CALCULATIONS!$K18-CALCULATIONS!$L18)&gt;0,+CALCULATIONS!E18,0)</f>
        <v>67.570248202062899</v>
      </c>
      <c r="F18" s="17">
        <f>IF((CALCULATIONS!$K18-CALCULATIONS!$L18)&gt;0,+CALCULATIONS!F18,0)</f>
        <v>319498.8424023267</v>
      </c>
      <c r="G18" s="31">
        <f>IF((CALCULATIONS!$K18-CALCULATIONS!$L18)&gt;0,+CALCULATIONS!G18,"")</f>
        <v>0.15</v>
      </c>
      <c r="H18" s="47">
        <f>IF((CALCULATIONS!$K18-CALCULATIONS!$L18)&gt;0,+CALCULATIONS!H18,0)</f>
        <v>38443.287696241598</v>
      </c>
      <c r="I18" s="28">
        <f>IF((CALCULATIONS!$K18-CALCULATIONS!$L18)&gt;0,+CALCULATIONS!I18,0)</f>
        <v>4.3935379461457487</v>
      </c>
      <c r="J18" s="17">
        <f>IF((CALCULATIONS!$K18-CALCULATIONS!$L18)&gt;0,+CALCULATIONS!J18,0)</f>
        <v>114008.87920592392</v>
      </c>
      <c r="K18" s="22">
        <f>IF((CALCULATIONS!$K18-CALCULATIONS!$L18)&gt;0,+CALCULATIONS!K18,0)</f>
        <v>433507.72160825063</v>
      </c>
      <c r="L18" s="23">
        <f>IF((CALCULATIONS!$K18-CALCULATIONS!$L18)&gt;0,+CALCULATIONS!L18,0)</f>
        <v>189213.1972702546</v>
      </c>
      <c r="M18" s="16">
        <f>IF((CALCULATIONS!$K18-CALCULATIONS!$L18)&gt;0,+CALCULATIONS!M18,0)</f>
        <v>0</v>
      </c>
      <c r="N18" s="17">
        <f>IF((CALCULATIONS!$K18-CALCULATIONS!$L18)&gt;0,+CALCULATIONS!N18,0)</f>
        <v>189213.1972702546</v>
      </c>
      <c r="O18" s="22">
        <f>IF((CALCULATIONS!$K18-CALCULATIONS!$L18)&gt;0,+CALCULATIONS!O18,0)</f>
        <v>244294.52433799603</v>
      </c>
      <c r="P18" s="62">
        <f>IF((CALCULATIONS!$K18-CALCULATIONS!$L18)&gt;0,+CALCULATIONS!P18,"N/A ")</f>
        <v>0.46361969621087712</v>
      </c>
      <c r="Q18" s="63">
        <f>IF((CALCULATIONS!$K18-CALCULATIONS!$L18)&gt;0,+CALCULATIONS!Q18,0)</f>
        <v>113259.75315956245</v>
      </c>
      <c r="S18" s="34">
        <f t="shared" si="1"/>
        <v>3838768.4190945234</v>
      </c>
      <c r="T18" s="35">
        <f t="shared" si="0"/>
        <v>0</v>
      </c>
      <c r="U18" s="236">
        <f t="shared" ref="U18:U37" si="2">IF(T17=0,0,IF(T18=0,+($Q$38-S17)/(S18-S17),0))</f>
        <v>0</v>
      </c>
    </row>
    <row r="19" spans="1:21" ht="15.05" customHeight="1">
      <c r="A19" s="6">
        <f>IF((CALCULATIONS!$K19-CALCULATIONS!$L19)&gt;0,+CALCULATIONS!A19,"")</f>
        <v>7</v>
      </c>
      <c r="B19" s="2">
        <f>IF((CALCULATIONS!$K19-CALCULATIONS!$L19)&gt;0,+CALCULATIONS!B19,"")</f>
        <v>2030</v>
      </c>
      <c r="C19" s="31">
        <f>IF((CALCULATIONS!$K19-CALCULATIONS!$L19)&gt;0,+CALCULATIONS!C19,"")</f>
        <v>0.1</v>
      </c>
      <c r="D19" s="44">
        <f>IF((CALCULATIONS!$K19-CALCULATIONS!$L19)&gt;0,+CALCULATIONS!D19,0)</f>
        <v>6675.3815662335001</v>
      </c>
      <c r="E19" s="28">
        <f>IF((CALCULATIONS!$K19-CALCULATIONS!$L19)&gt;0,+CALCULATIONS!E19,0)</f>
        <v>67.570248202062899</v>
      </c>
      <c r="F19" s="17">
        <f>IF((CALCULATIONS!$K19-CALCULATIONS!$L19)&gt;0,+CALCULATIONS!F19,0)</f>
        <v>287548.958162094</v>
      </c>
      <c r="G19" s="31">
        <f>IF((CALCULATIONS!$K19-CALCULATIONS!$L19)&gt;0,+CALCULATIONS!G19,"")</f>
        <v>0.15</v>
      </c>
      <c r="H19" s="47">
        <f>IF((CALCULATIONS!$K19-CALCULATIONS!$L19)&gt;0,+CALCULATIONS!H19,0)</f>
        <v>32676.794541805357</v>
      </c>
      <c r="I19" s="28">
        <f>IF((CALCULATIONS!$K19-CALCULATIONS!$L19)&gt;0,+CALCULATIONS!I19,0)</f>
        <v>4.3935379461457487</v>
      </c>
      <c r="J19" s="17">
        <f>IF((CALCULATIONS!$K19-CALCULATIONS!$L19)&gt;0,+CALCULATIONS!J19,0)</f>
        <v>96907.547325035324</v>
      </c>
      <c r="K19" s="22">
        <f>IF((CALCULATIONS!$K19-CALCULATIONS!$L19)&gt;0,+CALCULATIONS!K19,0)</f>
        <v>384456.50548712933</v>
      </c>
      <c r="L19" s="23">
        <f>IF((CALCULATIONS!$K19-CALCULATIONS!$L19)&gt;0,+CALCULATIONS!L19,0)</f>
        <v>189213.1972702546</v>
      </c>
      <c r="M19" s="16">
        <f>IF((CALCULATIONS!$K19-CALCULATIONS!$L19)&gt;0,+CALCULATIONS!M19,0)</f>
        <v>0</v>
      </c>
      <c r="N19" s="17">
        <f>IF((CALCULATIONS!$K19-CALCULATIONS!$L19)&gt;0,+CALCULATIONS!N19,0)</f>
        <v>189213.1972702546</v>
      </c>
      <c r="O19" s="22">
        <f>IF((CALCULATIONS!$K19-CALCULATIONS!$L19)&gt;0,+CALCULATIONS!O19,0)</f>
        <v>195243.30821687472</v>
      </c>
      <c r="P19" s="62">
        <f>IF((CALCULATIONS!$K19-CALCULATIONS!$L19)&gt;0,+CALCULATIONS!P19,"N/A ")</f>
        <v>0.40314756192250184</v>
      </c>
      <c r="Q19" s="63">
        <f>IF((CALCULATIONS!$K19-CALCULATIONS!$L19)&gt;0,+CALCULATIONS!Q19,0)</f>
        <v>78711.863689316611</v>
      </c>
      <c r="S19" s="34">
        <f t="shared" si="1"/>
        <v>4034011.7273113979</v>
      </c>
      <c r="T19" s="35">
        <f t="shared" si="0"/>
        <v>0</v>
      </c>
      <c r="U19" s="236">
        <f t="shared" si="2"/>
        <v>0</v>
      </c>
    </row>
    <row r="20" spans="1:21" ht="15.05" customHeight="1">
      <c r="A20" s="6">
        <f>IF((CALCULATIONS!$K20-CALCULATIONS!$L20)&gt;0,+CALCULATIONS!A20,"")</f>
        <v>8</v>
      </c>
      <c r="B20" s="2">
        <f>IF((CALCULATIONS!$K20-CALCULATIONS!$L20)&gt;0,+CALCULATIONS!B20,"")</f>
        <v>2031</v>
      </c>
      <c r="C20" s="31">
        <f>IF((CALCULATIONS!$K20-CALCULATIONS!$L20)&gt;0,+CALCULATIONS!C20,"")</f>
        <v>0.1</v>
      </c>
      <c r="D20" s="44">
        <f>IF((CALCULATIONS!$K20-CALCULATIONS!$L20)&gt;0,+CALCULATIONS!D20,0)</f>
        <v>6007.84340961015</v>
      </c>
      <c r="E20" s="28">
        <f>IF((CALCULATIONS!$K20-CALCULATIONS!$L20)&gt;0,+CALCULATIONS!E20,0)</f>
        <v>67.570248202062899</v>
      </c>
      <c r="F20" s="17">
        <f>IF((CALCULATIONS!$K20-CALCULATIONS!$L20)&gt;0,+CALCULATIONS!F20,0)</f>
        <v>258794.06234588462</v>
      </c>
      <c r="G20" s="31">
        <f>IF((CALCULATIONS!$K20-CALCULATIONS!$L20)&gt;0,+CALCULATIONS!G20,"")</f>
        <v>0.15</v>
      </c>
      <c r="H20" s="47">
        <f>IF((CALCULATIONS!$K20-CALCULATIONS!$L20)&gt;0,+CALCULATIONS!H20,0)</f>
        <v>27775.275360534557</v>
      </c>
      <c r="I20" s="28">
        <f>IF((CALCULATIONS!$K20-CALCULATIONS!$L20)&gt;0,+CALCULATIONS!I20,0)</f>
        <v>4.3935379461457487</v>
      </c>
      <c r="J20" s="17">
        <f>IF((CALCULATIONS!$K20-CALCULATIONS!$L20)&gt;0,+CALCULATIONS!J20,0)</f>
        <v>82371.415226280049</v>
      </c>
      <c r="K20" s="22">
        <f>IF((CALCULATIONS!$K20-CALCULATIONS!$L20)&gt;0,+CALCULATIONS!K20,0)</f>
        <v>341165.47757216467</v>
      </c>
      <c r="L20" s="23">
        <f>IF((CALCULATIONS!$K20-CALCULATIONS!$L20)&gt;0,+CALCULATIONS!L20,0)</f>
        <v>189213.1972702546</v>
      </c>
      <c r="M20" s="16">
        <f>IF((CALCULATIONS!$K20-CALCULATIONS!$L20)&gt;0,+CALCULATIONS!M20,0)</f>
        <v>0</v>
      </c>
      <c r="N20" s="17">
        <f>IF((CALCULATIONS!$K20-CALCULATIONS!$L20)&gt;0,+CALCULATIONS!N20,0)</f>
        <v>189213.1972702546</v>
      </c>
      <c r="O20" s="22">
        <f>IF((CALCULATIONS!$K20-CALCULATIONS!$L20)&gt;0,+CALCULATIONS!O20,0)</f>
        <v>151952.28030191007</v>
      </c>
      <c r="P20" s="62">
        <f>IF((CALCULATIONS!$K20-CALCULATIONS!$L20)&gt;0,+CALCULATIONS!P20,"N/A ")</f>
        <v>0.35056309732391466</v>
      </c>
      <c r="Q20" s="63">
        <f>IF((CALCULATIONS!$K20-CALCULATIONS!$L20)&gt;0,+CALCULATIONS!Q20,0)</f>
        <v>53268.862028069263</v>
      </c>
      <c r="S20" s="34">
        <f t="shared" si="1"/>
        <v>4185964.0076133078</v>
      </c>
      <c r="T20" s="35">
        <f t="shared" si="0"/>
        <v>0</v>
      </c>
      <c r="U20" s="236">
        <f t="shared" si="2"/>
        <v>0</v>
      </c>
    </row>
    <row r="21" spans="1:21" ht="15.05" customHeight="1">
      <c r="A21" s="6">
        <f>IF((CALCULATIONS!$K21-CALCULATIONS!$L21)&gt;0,+CALCULATIONS!A21,"")</f>
        <v>9</v>
      </c>
      <c r="B21" s="2">
        <f>IF((CALCULATIONS!$K21-CALCULATIONS!$L21)&gt;0,+CALCULATIONS!B21,"")</f>
        <v>2032</v>
      </c>
      <c r="C21" s="31">
        <f>IF((CALCULATIONS!$K21-CALCULATIONS!$L21)&gt;0,+CALCULATIONS!C21,"")</f>
        <v>0.1</v>
      </c>
      <c r="D21" s="44">
        <f>IF((CALCULATIONS!$K21-CALCULATIONS!$L21)&gt;0,+CALCULATIONS!D21,0)</f>
        <v>5407.0590686491341</v>
      </c>
      <c r="E21" s="28">
        <f>IF((CALCULATIONS!$K21-CALCULATIONS!$L21)&gt;0,+CALCULATIONS!E21,0)</f>
        <v>67.570248202062899</v>
      </c>
      <c r="F21" s="17">
        <f>IF((CALCULATIONS!$K21-CALCULATIONS!$L21)&gt;0,+CALCULATIONS!F21,0)</f>
        <v>232914.65611129609</v>
      </c>
      <c r="G21" s="31">
        <f>IF((CALCULATIONS!$K21-CALCULATIONS!$L21)&gt;0,+CALCULATIONS!G21,"")</f>
        <v>0.15</v>
      </c>
      <c r="H21" s="47">
        <f>IF((CALCULATIONS!$K21-CALCULATIONS!$L21)&gt;0,+CALCULATIONS!H21,0)</f>
        <v>23608.984056454374</v>
      </c>
      <c r="I21" s="28">
        <f>IF((CALCULATIONS!$K21-CALCULATIONS!$L21)&gt;0,+CALCULATIONS!I21,0)</f>
        <v>4.3935379461457487</v>
      </c>
      <c r="J21" s="17">
        <f>IF((CALCULATIONS!$K21-CALCULATIONS!$L21)&gt;0,+CALCULATIONS!J21,0)</f>
        <v>70015.702942338045</v>
      </c>
      <c r="K21" s="22">
        <f>IF((CALCULATIONS!$K21-CALCULATIONS!$L21)&gt;0,+CALCULATIONS!K21,0)</f>
        <v>302930.35905363411</v>
      </c>
      <c r="L21" s="23">
        <f>IF((CALCULATIONS!$K21-CALCULATIONS!$L21)&gt;0,+CALCULATIONS!L21,0)</f>
        <v>189213.1972702546</v>
      </c>
      <c r="M21" s="16">
        <f>IF((CALCULATIONS!$K21-CALCULATIONS!$L21)&gt;0,+CALCULATIONS!M21,0)</f>
        <v>0</v>
      </c>
      <c r="N21" s="17">
        <f>IF((CALCULATIONS!$K21-CALCULATIONS!$L21)&gt;0,+CALCULATIONS!N21,0)</f>
        <v>189213.1972702546</v>
      </c>
      <c r="O21" s="22">
        <f>IF((CALCULATIONS!$K21-CALCULATIONS!$L21)&gt;0,+CALCULATIONS!O21,0)</f>
        <v>113717.1617833795</v>
      </c>
      <c r="P21" s="62">
        <f>IF((CALCULATIONS!$K21-CALCULATIONS!$L21)&gt;0,+CALCULATIONS!P21,"N/A ")</f>
        <v>0.30483747593383886</v>
      </c>
      <c r="Q21" s="63">
        <f>IF((CALCULATIONS!$K21-CALCULATIONS!$L21)&gt;0,+CALCULATIONS!Q21,0)</f>
        <v>34665.252568405413</v>
      </c>
      <c r="S21" s="34">
        <f t="shared" si="1"/>
        <v>4299681.1693966873</v>
      </c>
      <c r="T21" s="35">
        <f t="shared" si="0"/>
        <v>0</v>
      </c>
      <c r="U21" s="236">
        <f t="shared" si="2"/>
        <v>0</v>
      </c>
    </row>
    <row r="22" spans="1:21" ht="15.05" customHeight="1">
      <c r="A22" s="6">
        <f>IF((CALCULATIONS!$K22-CALCULATIONS!$L22)&gt;0,+CALCULATIONS!A22,"")</f>
        <v>10</v>
      </c>
      <c r="B22" s="2">
        <f>IF((CALCULATIONS!$K22-CALCULATIONS!$L22)&gt;0,+CALCULATIONS!B22,"")</f>
        <v>2033</v>
      </c>
      <c r="C22" s="31">
        <f>IF((CALCULATIONS!$K22-CALCULATIONS!$L22)&gt;0,+CALCULATIONS!C22,"")</f>
        <v>0.1</v>
      </c>
      <c r="D22" s="44">
        <f>IF((CALCULATIONS!$K22-CALCULATIONS!$L22)&gt;0,+CALCULATIONS!D22,0)</f>
        <v>4866.35316178422</v>
      </c>
      <c r="E22" s="28">
        <f>IF((CALCULATIONS!$K22-CALCULATIONS!$L22)&gt;0,+CALCULATIONS!E22,0)</f>
        <v>67.570248202062899</v>
      </c>
      <c r="F22" s="17">
        <f>IF((CALCULATIONS!$K22-CALCULATIONS!$L22)&gt;0,+CALCULATIONS!F22,0)</f>
        <v>209623.19050016644</v>
      </c>
      <c r="G22" s="31">
        <f>IF((CALCULATIONS!$K22-CALCULATIONS!$L22)&gt;0,+CALCULATIONS!G22,"")</f>
        <v>0.15</v>
      </c>
      <c r="H22" s="47">
        <f>IF((CALCULATIONS!$K22-CALCULATIONS!$L22)&gt;0,+CALCULATIONS!H22,0)</f>
        <v>20067.63644798622</v>
      </c>
      <c r="I22" s="28">
        <f>IF((CALCULATIONS!$K22-CALCULATIONS!$L22)&gt;0,+CALCULATIONS!I22,0)</f>
        <v>4.3935379461457487</v>
      </c>
      <c r="J22" s="17">
        <f>IF((CALCULATIONS!$K22-CALCULATIONS!$L22)&gt;0,+CALCULATIONS!J22,0)</f>
        <v>59513.347500987344</v>
      </c>
      <c r="K22" s="22">
        <f>IF((CALCULATIONS!$K22-CALCULATIONS!$L22)&gt;0,+CALCULATIONS!K22,0)</f>
        <v>269136.53800115379</v>
      </c>
      <c r="L22" s="23">
        <f>IF((CALCULATIONS!$K22-CALCULATIONS!$L22)&gt;0,+CALCULATIONS!L22,0)</f>
        <v>189213.1972702546</v>
      </c>
      <c r="M22" s="16">
        <f>IF((CALCULATIONS!$K22-CALCULATIONS!$L22)&gt;0,+CALCULATIONS!M22,0)</f>
        <v>0</v>
      </c>
      <c r="N22" s="17">
        <f>IF((CALCULATIONS!$K22-CALCULATIONS!$L22)&gt;0,+CALCULATIONS!N22,0)</f>
        <v>189213.1972702546</v>
      </c>
      <c r="O22" s="22">
        <f>IF((CALCULATIONS!$K22-CALCULATIONS!$L22)&gt;0,+CALCULATIONS!O22,0)</f>
        <v>79923.340730899188</v>
      </c>
      <c r="P22" s="62">
        <f>IF((CALCULATIONS!$K22-CALCULATIONS!$L22)&gt;0,+CALCULATIONS!P22,"N/A ")</f>
        <v>0.26507606602942513</v>
      </c>
      <c r="Q22" s="63">
        <f>IF((CALCULATIONS!$K22-CALCULATIONS!$L22)&gt;0,+CALCULATIONS!Q22,0)</f>
        <v>21185.764744876076</v>
      </c>
      <c r="S22" s="34">
        <f t="shared" si="1"/>
        <v>4379604.5101275863</v>
      </c>
      <c r="T22" s="35">
        <f t="shared" si="0"/>
        <v>0</v>
      </c>
      <c r="U22" s="236">
        <f t="shared" si="2"/>
        <v>0</v>
      </c>
    </row>
    <row r="23" spans="1:21" ht="21.95" customHeight="1">
      <c r="A23" s="6">
        <f>IF((CALCULATIONS!$K23-CALCULATIONS!$L23)&gt;0,+CALCULATIONS!A23,"")</f>
        <v>11</v>
      </c>
      <c r="B23" s="2">
        <f>IF((CALCULATIONS!$K23-CALCULATIONS!$L23)&gt;0,+CALCULATIONS!B23,"")</f>
        <v>2034</v>
      </c>
      <c r="C23" s="31">
        <f>IF((CALCULATIONS!$K23-CALCULATIONS!$L23)&gt;0,+CALCULATIONS!C23,"")</f>
        <v>0.1</v>
      </c>
      <c r="D23" s="44">
        <f>IF((CALCULATIONS!$K23-CALCULATIONS!$L23)&gt;0,+CALCULATIONS!D23,0)</f>
        <v>4379.7178456057982</v>
      </c>
      <c r="E23" s="28">
        <f>IF((CALCULATIONS!$K23-CALCULATIONS!$L23)&gt;0,+CALCULATIONS!E23,0)</f>
        <v>67.570248202062899</v>
      </c>
      <c r="F23" s="17">
        <f>IF((CALCULATIONS!$K23-CALCULATIONS!$L23)&gt;0,+CALCULATIONS!F23,0)</f>
        <v>188660.8714501498</v>
      </c>
      <c r="G23" s="31">
        <f>IF((CALCULATIONS!$K23-CALCULATIONS!$L23)&gt;0,+CALCULATIONS!G23,"")</f>
        <v>0.15</v>
      </c>
      <c r="H23" s="47">
        <f>IF((CALCULATIONS!$K23-CALCULATIONS!$L23)&gt;0,+CALCULATIONS!H23,0)</f>
        <v>17057.490980788287</v>
      </c>
      <c r="I23" s="28">
        <f>IF((CALCULATIONS!$K23-CALCULATIONS!$L23)&gt;0,+CALCULATIONS!I23,0)</f>
        <v>4.3935379461457487</v>
      </c>
      <c r="J23" s="17">
        <f>IF((CALCULATIONS!$K23-CALCULATIONS!$L23)&gt;0,+CALCULATIONS!J23,0)</f>
        <v>50586.345375839242</v>
      </c>
      <c r="K23" s="22">
        <f>IF((CALCULATIONS!$K23-CALCULATIONS!$L23)&gt;0,+CALCULATIONS!K23,0)</f>
        <v>239247.21682598905</v>
      </c>
      <c r="L23" s="23">
        <f>IF((CALCULATIONS!$K23-CALCULATIONS!$L23)&gt;0,+CALCULATIONS!L23,0)</f>
        <v>189213.1972702546</v>
      </c>
      <c r="M23" s="16">
        <f>IF((CALCULATIONS!$K23-CALCULATIONS!$L23)&gt;0,+CALCULATIONS!M23,0)</f>
        <v>0</v>
      </c>
      <c r="N23" s="17">
        <f>IF((CALCULATIONS!$K23-CALCULATIONS!$L23)&gt;0,+CALCULATIONS!N23,0)</f>
        <v>189213.1972702546</v>
      </c>
      <c r="O23" s="22">
        <f>IF((CALCULATIONS!$K23-CALCULATIONS!$L23)&gt;0,+CALCULATIONS!O23,0)</f>
        <v>50034.019555734441</v>
      </c>
      <c r="P23" s="62">
        <f>IF((CALCULATIONS!$K23-CALCULATIONS!$L23)&gt;0,+CALCULATIONS!P23,"N/A ")</f>
        <v>0.23050092698210878</v>
      </c>
      <c r="Q23" s="63">
        <f>IF((CALCULATIONS!$K23-CALCULATIONS!$L23)&gt;0,+CALCULATIONS!Q23,0)</f>
        <v>11532.887888237747</v>
      </c>
      <c r="S23" s="34">
        <f t="shared" si="1"/>
        <v>4429638.5296833208</v>
      </c>
      <c r="T23" s="35">
        <f t="shared" si="0"/>
        <v>0</v>
      </c>
      <c r="U23" s="236">
        <f t="shared" si="2"/>
        <v>0</v>
      </c>
    </row>
    <row r="24" spans="1:21" ht="15.05" customHeight="1">
      <c r="A24" s="6">
        <f>IF((CALCULATIONS!$K24-CALCULATIONS!$L24)&gt;0,+CALCULATIONS!A24,"")</f>
        <v>12</v>
      </c>
      <c r="B24" s="2">
        <f>IF((CALCULATIONS!$K24-CALCULATIONS!$L24)&gt;0,+CALCULATIONS!B24,"")</f>
        <v>2035</v>
      </c>
      <c r="C24" s="31">
        <f>IF((CALCULATIONS!$K24-CALCULATIONS!$L24)&gt;0,+CALCULATIONS!C24,"")</f>
        <v>0.1</v>
      </c>
      <c r="D24" s="44">
        <f>IF((CALCULATIONS!$K24-CALCULATIONS!$L24)&gt;0,+CALCULATIONS!D24,0)</f>
        <v>3941.7460610452176</v>
      </c>
      <c r="E24" s="28">
        <f>IF((CALCULATIONS!$K24-CALCULATIONS!$L24)&gt;0,+CALCULATIONS!E24,0)</f>
        <v>67.570248202062899</v>
      </c>
      <c r="F24" s="17">
        <f>IF((CALCULATIONS!$K24-CALCULATIONS!$L24)&gt;0,+CALCULATIONS!F24,0)</f>
        <v>169794.78430513482</v>
      </c>
      <c r="G24" s="31">
        <f>IF((CALCULATIONS!$K24-CALCULATIONS!$L24)&gt;0,+CALCULATIONS!G24,"")</f>
        <v>0.15</v>
      </c>
      <c r="H24" s="47">
        <f>IF((CALCULATIONS!$K24-CALCULATIONS!$L24)&gt;0,+CALCULATIONS!H24,0)</f>
        <v>14498.867333670045</v>
      </c>
      <c r="I24" s="28">
        <f>IF((CALCULATIONS!$K24-CALCULATIONS!$L24)&gt;0,+CALCULATIONS!I24,0)</f>
        <v>4.3935379461457487</v>
      </c>
      <c r="J24" s="17">
        <f>IF((CALCULATIONS!$K24-CALCULATIONS!$L24)&gt;0,+CALCULATIONS!J24,0)</f>
        <v>42998.393569463355</v>
      </c>
      <c r="K24" s="22">
        <f>IF((CALCULATIONS!$K24-CALCULATIONS!$L24)&gt;0,+CALCULATIONS!K24,0)</f>
        <v>212793.17787459819</v>
      </c>
      <c r="L24" s="23">
        <f>IF((CALCULATIONS!$K24-CALCULATIONS!$L24)&gt;0,+CALCULATIONS!L24,0)</f>
        <v>189213.1972702546</v>
      </c>
      <c r="M24" s="16">
        <f>IF((CALCULATIONS!$K24-CALCULATIONS!$L24)&gt;0,+CALCULATIONS!M24,0)</f>
        <v>0</v>
      </c>
      <c r="N24" s="17">
        <f>IF((CALCULATIONS!$K24-CALCULATIONS!$L24)&gt;0,+CALCULATIONS!N24,0)</f>
        <v>189213.1972702546</v>
      </c>
      <c r="O24" s="22">
        <f>IF((CALCULATIONS!$K24-CALCULATIONS!$L24)&gt;0,+CALCULATIONS!O24,0)</f>
        <v>23579.980604343582</v>
      </c>
      <c r="P24" s="62">
        <f>IF((CALCULATIONS!$K24-CALCULATIONS!$L24)&gt;0,+CALCULATIONS!P24,"N/A ")</f>
        <v>0.20043558868009465</v>
      </c>
      <c r="Q24" s="63">
        <f>IF((CALCULATIONS!$K24-CALCULATIONS!$L24)&gt;0,+CALCULATIONS!Q24,0)</f>
        <v>4726.2672934968195</v>
      </c>
      <c r="S24" s="34">
        <f t="shared" si="1"/>
        <v>4453218.5102876648</v>
      </c>
      <c r="T24" s="35">
        <f t="shared" si="0"/>
        <v>0</v>
      </c>
      <c r="U24" s="236">
        <f t="shared" si="2"/>
        <v>0</v>
      </c>
    </row>
    <row r="25" spans="1:21" ht="15.05" customHeight="1">
      <c r="A25" s="6">
        <f>IF((CALCULATIONS!$K25-CALCULATIONS!$L25)&gt;0,+CALCULATIONS!A25,"")</f>
        <v>13</v>
      </c>
      <c r="B25" s="2">
        <f>IF((CALCULATIONS!$K25-CALCULATIONS!$L25)&gt;0,+CALCULATIONS!B25,"")</f>
        <v>2036</v>
      </c>
      <c r="C25" s="31">
        <f>IF((CALCULATIONS!$K25-CALCULATIONS!$L25)&gt;0,+CALCULATIONS!C25,"")</f>
        <v>0.1</v>
      </c>
      <c r="D25" s="44">
        <f>IF((CALCULATIONS!$K25-CALCULATIONS!$L25)&gt;0,+CALCULATIONS!D25,0)</f>
        <v>3547.5714549406957</v>
      </c>
      <c r="E25" s="28">
        <f>IF((CALCULATIONS!$K25-CALCULATIONS!$L25)&gt;0,+CALCULATIONS!E25,0)</f>
        <v>67.570248202062899</v>
      </c>
      <c r="F25" s="17">
        <f>IF((CALCULATIONS!$K25-CALCULATIONS!$L25)&gt;0,+CALCULATIONS!F25,0)</f>
        <v>152815.30587462132</v>
      </c>
      <c r="G25" s="31">
        <f>IF((CALCULATIONS!$K25-CALCULATIONS!$L25)&gt;0,+CALCULATIONS!G25,"")</f>
        <v>0.15</v>
      </c>
      <c r="H25" s="47">
        <f>IF((CALCULATIONS!$K25-CALCULATIONS!$L25)&gt;0,+CALCULATIONS!H25,0)</f>
        <v>12324.03723361954</v>
      </c>
      <c r="I25" s="28">
        <f>IF((CALCULATIONS!$K25-CALCULATIONS!$L25)&gt;0,+CALCULATIONS!I25,0)</f>
        <v>4.3935379461457487</v>
      </c>
      <c r="J25" s="17">
        <f>IF((CALCULATIONS!$K25-CALCULATIONS!$L25)&gt;0,+CALCULATIONS!J25,0)</f>
        <v>36548.634534043857</v>
      </c>
      <c r="K25" s="22">
        <f>IF((CALCULATIONS!$K25-CALCULATIONS!$L25)&gt;0,+CALCULATIONS!K25,0)</f>
        <v>189363.94040866516</v>
      </c>
      <c r="L25" s="23">
        <f>IF((CALCULATIONS!$K25-CALCULATIONS!$L25)&gt;0,+CALCULATIONS!L25,0)</f>
        <v>189213.1972702546</v>
      </c>
      <c r="M25" s="16">
        <f>IF((CALCULATIONS!$K25-CALCULATIONS!$L25)&gt;0,+CALCULATIONS!M25,0)</f>
        <v>0</v>
      </c>
      <c r="N25" s="17">
        <f>IF((CALCULATIONS!$K25-CALCULATIONS!$L25)&gt;0,+CALCULATIONS!N25,0)</f>
        <v>189213.1972702546</v>
      </c>
      <c r="O25" s="22">
        <f>IF((CALCULATIONS!$K25-CALCULATIONS!$L25)&gt;0,+CALCULATIONS!O25,0)</f>
        <v>150.74313841055846</v>
      </c>
      <c r="P25" s="62">
        <f>IF((CALCULATIONS!$K25-CALCULATIONS!$L25)&gt;0,+CALCULATIONS!P25,"N/A ")</f>
        <v>0.17429181624356058</v>
      </c>
      <c r="Q25" s="63">
        <f>IF((CALCULATIONS!$K25-CALCULATIONS!$L25)&gt;0,+CALCULATIONS!Q25,0)</f>
        <v>26.273295379830675</v>
      </c>
      <c r="S25" s="34">
        <f t="shared" si="1"/>
        <v>4453369.253426075</v>
      </c>
      <c r="T25" s="35">
        <f t="shared" si="0"/>
        <v>0</v>
      </c>
      <c r="U25" s="236">
        <f t="shared" si="2"/>
        <v>0</v>
      </c>
    </row>
    <row r="26" spans="1:21" ht="15.05" customHeight="1">
      <c r="A26" s="6" t="str">
        <f>IF((CALCULATIONS!$K26-CALCULATIONS!$L26)&gt;0,+CALCULATIONS!A26,"")</f>
        <v/>
      </c>
      <c r="B26" s="2" t="str">
        <f>IF((CALCULATIONS!$K26-CALCULATIONS!$L26)&gt;0,+CALCULATIONS!B26,"")</f>
        <v/>
      </c>
      <c r="C26" s="31" t="str">
        <f>IF((CALCULATIONS!$K26-CALCULATIONS!$L26)&gt;0,+CALCULATIONS!C26,"")</f>
        <v/>
      </c>
      <c r="D26" s="44">
        <f>IF((CALCULATIONS!$K26-CALCULATIONS!$L26)&gt;0,+CALCULATIONS!D26,0)</f>
        <v>0</v>
      </c>
      <c r="E26" s="28">
        <f>IF((CALCULATIONS!$K26-CALCULATIONS!$L26)&gt;0,+CALCULATIONS!E26,0)</f>
        <v>0</v>
      </c>
      <c r="F26" s="17">
        <f>IF((CALCULATIONS!$K26-CALCULATIONS!$L26)&gt;0,+CALCULATIONS!F26,0)</f>
        <v>0</v>
      </c>
      <c r="G26" s="31" t="str">
        <f>IF((CALCULATIONS!$K26-CALCULATIONS!$L26)&gt;0,+CALCULATIONS!G26,"")</f>
        <v/>
      </c>
      <c r="H26" s="47">
        <f>IF((CALCULATIONS!$K26-CALCULATIONS!$L26)&gt;0,+CALCULATIONS!H26,0)</f>
        <v>0</v>
      </c>
      <c r="I26" s="28">
        <f>IF((CALCULATIONS!$K26-CALCULATIONS!$L26)&gt;0,+CALCULATIONS!I26,0)</f>
        <v>0</v>
      </c>
      <c r="J26" s="17">
        <f>IF((CALCULATIONS!$K26-CALCULATIONS!$L26)&gt;0,+CALCULATIONS!J26,0)</f>
        <v>0</v>
      </c>
      <c r="K26" s="22">
        <f>IF((CALCULATIONS!$K26-CALCULATIONS!$L26)&gt;0,+CALCULATIONS!K26,0)</f>
        <v>0</v>
      </c>
      <c r="L26" s="23">
        <f>IF((CALCULATIONS!$K26-CALCULATIONS!$L26)&gt;0,+CALCULATIONS!L26,0)</f>
        <v>0</v>
      </c>
      <c r="M26" s="16">
        <f>IF((CALCULATIONS!$K26-CALCULATIONS!$L26)&gt;0,+CALCULATIONS!M26,0)</f>
        <v>0</v>
      </c>
      <c r="N26" s="17">
        <f>IF((CALCULATIONS!$K26-CALCULATIONS!$L26)&gt;0,+CALCULATIONS!N26,0)</f>
        <v>0</v>
      </c>
      <c r="O26" s="22">
        <f>IF((CALCULATIONS!$K26-CALCULATIONS!$L26)&gt;0,+CALCULATIONS!O26,0)</f>
        <v>0</v>
      </c>
      <c r="P26" s="62" t="str">
        <f>IF((CALCULATIONS!$K26-CALCULATIONS!$L26)&gt;0,+CALCULATIONS!P26,"N/A ")</f>
        <v xml:space="preserve">N/A </v>
      </c>
      <c r="Q26" s="63">
        <f>IF((CALCULATIONS!$K26-CALCULATIONS!$L26)&gt;0,+CALCULATIONS!Q26,0)</f>
        <v>0</v>
      </c>
      <c r="S26" s="34">
        <f t="shared" si="1"/>
        <v>4453369.253426075</v>
      </c>
      <c r="T26" s="35">
        <f t="shared" si="0"/>
        <v>0</v>
      </c>
      <c r="U26" s="236">
        <f t="shared" si="2"/>
        <v>0</v>
      </c>
    </row>
    <row r="27" spans="1:21" ht="15.05" customHeight="1">
      <c r="A27" s="6" t="str">
        <f>IF((CALCULATIONS!$K27-CALCULATIONS!$L27)&gt;0,+CALCULATIONS!A27,"")</f>
        <v/>
      </c>
      <c r="B27" s="2" t="str">
        <f>IF((CALCULATIONS!$K27-CALCULATIONS!$L27)&gt;0,+CALCULATIONS!B27,"")</f>
        <v/>
      </c>
      <c r="C27" s="31" t="str">
        <f>IF((CALCULATIONS!$K27-CALCULATIONS!$L27)&gt;0,+CALCULATIONS!C27,"")</f>
        <v/>
      </c>
      <c r="D27" s="44">
        <f>IF((CALCULATIONS!$K27-CALCULATIONS!$L27)&gt;0,+CALCULATIONS!D27,0)</f>
        <v>0</v>
      </c>
      <c r="E27" s="28">
        <f>IF((CALCULATIONS!$K27-CALCULATIONS!$L27)&gt;0,+CALCULATIONS!E27,0)</f>
        <v>0</v>
      </c>
      <c r="F27" s="17">
        <f>IF((CALCULATIONS!$K27-CALCULATIONS!$L27)&gt;0,+CALCULATIONS!F27,0)</f>
        <v>0</v>
      </c>
      <c r="G27" s="31" t="str">
        <f>IF((CALCULATIONS!$K27-CALCULATIONS!$L27)&gt;0,+CALCULATIONS!G27,"")</f>
        <v/>
      </c>
      <c r="H27" s="47">
        <f>IF((CALCULATIONS!$K27-CALCULATIONS!$L27)&gt;0,+CALCULATIONS!H27,0)</f>
        <v>0</v>
      </c>
      <c r="I27" s="28">
        <f>IF((CALCULATIONS!$K27-CALCULATIONS!$L27)&gt;0,+CALCULATIONS!I27,0)</f>
        <v>0</v>
      </c>
      <c r="J27" s="17">
        <f>IF((CALCULATIONS!$K27-CALCULATIONS!$L27)&gt;0,+CALCULATIONS!J27,0)</f>
        <v>0</v>
      </c>
      <c r="K27" s="22">
        <f>IF((CALCULATIONS!$K27-CALCULATIONS!$L27)&gt;0,+CALCULATIONS!K27,0)</f>
        <v>0</v>
      </c>
      <c r="L27" s="23">
        <f>IF((CALCULATIONS!$K27-CALCULATIONS!$L27)&gt;0,+CALCULATIONS!L27,0)</f>
        <v>0</v>
      </c>
      <c r="M27" s="16">
        <f>IF((CALCULATIONS!$K27-CALCULATIONS!$L27)&gt;0,+CALCULATIONS!M27,0)</f>
        <v>0</v>
      </c>
      <c r="N27" s="17">
        <f>IF((CALCULATIONS!$K27-CALCULATIONS!$L27)&gt;0,+CALCULATIONS!N27,0)</f>
        <v>0</v>
      </c>
      <c r="O27" s="22">
        <f>IF((CALCULATIONS!$K27-CALCULATIONS!$L27)&gt;0,+CALCULATIONS!O27,0)</f>
        <v>0</v>
      </c>
      <c r="P27" s="62" t="str">
        <f>IF((CALCULATIONS!$K27-CALCULATIONS!$L27)&gt;0,+CALCULATIONS!P27,"N/A ")</f>
        <v xml:space="preserve">N/A </v>
      </c>
      <c r="Q27" s="63">
        <f>IF((CALCULATIONS!$K27-CALCULATIONS!$L27)&gt;0,+CALCULATIONS!Q27,0)</f>
        <v>0</v>
      </c>
      <c r="S27" s="34">
        <f t="shared" si="1"/>
        <v>4453369.253426075</v>
      </c>
      <c r="T27" s="35">
        <f t="shared" si="0"/>
        <v>0</v>
      </c>
      <c r="U27" s="236">
        <f t="shared" si="2"/>
        <v>0</v>
      </c>
    </row>
    <row r="28" spans="1:21" ht="21.95" customHeight="1">
      <c r="A28" s="6" t="str">
        <f>IF((CALCULATIONS!$K28-CALCULATIONS!$L28)&gt;0,+CALCULATIONS!A28,"")</f>
        <v/>
      </c>
      <c r="B28" s="2" t="str">
        <f>IF((CALCULATIONS!$K28-CALCULATIONS!$L28)&gt;0,+CALCULATIONS!B28,"")</f>
        <v/>
      </c>
      <c r="C28" s="31" t="str">
        <f>IF((CALCULATIONS!$K28-CALCULATIONS!$L28)&gt;0,+CALCULATIONS!C28,"")</f>
        <v/>
      </c>
      <c r="D28" s="44">
        <f>IF((CALCULATIONS!$K28-CALCULATIONS!$L28)&gt;0,+CALCULATIONS!D28,0)</f>
        <v>0</v>
      </c>
      <c r="E28" s="28">
        <f>IF((CALCULATIONS!$K28-CALCULATIONS!$L28)&gt;0,+CALCULATIONS!E28,0)</f>
        <v>0</v>
      </c>
      <c r="F28" s="17">
        <f>IF((CALCULATIONS!$K28-CALCULATIONS!$L28)&gt;0,+CALCULATIONS!F28,0)</f>
        <v>0</v>
      </c>
      <c r="G28" s="31" t="str">
        <f>IF((CALCULATIONS!$K28-CALCULATIONS!$L28)&gt;0,+CALCULATIONS!G28,"")</f>
        <v/>
      </c>
      <c r="H28" s="47">
        <f>IF((CALCULATIONS!$K28-CALCULATIONS!$L28)&gt;0,+CALCULATIONS!H28,0)</f>
        <v>0</v>
      </c>
      <c r="I28" s="28">
        <f>IF((CALCULATIONS!$K28-CALCULATIONS!$L28)&gt;0,+CALCULATIONS!I28,0)</f>
        <v>0</v>
      </c>
      <c r="J28" s="17">
        <f>IF((CALCULATIONS!$K28-CALCULATIONS!$L28)&gt;0,+CALCULATIONS!J28,0)</f>
        <v>0</v>
      </c>
      <c r="K28" s="22">
        <f>IF((CALCULATIONS!$K28-CALCULATIONS!$L28)&gt;0,+CALCULATIONS!K28,0)</f>
        <v>0</v>
      </c>
      <c r="L28" s="23">
        <f>IF((CALCULATIONS!$K28-CALCULATIONS!$L28)&gt;0,+CALCULATIONS!L28,0)</f>
        <v>0</v>
      </c>
      <c r="M28" s="16">
        <f>IF((CALCULATIONS!$K28-CALCULATIONS!$L28)&gt;0,+CALCULATIONS!M28,0)</f>
        <v>0</v>
      </c>
      <c r="N28" s="17">
        <f>IF((CALCULATIONS!$K28-CALCULATIONS!$L28)&gt;0,+CALCULATIONS!N28,0)</f>
        <v>0</v>
      </c>
      <c r="O28" s="22">
        <f>IF((CALCULATIONS!$K28-CALCULATIONS!$L28)&gt;0,+CALCULATIONS!O28,0)</f>
        <v>0</v>
      </c>
      <c r="P28" s="62" t="str">
        <f>IF((CALCULATIONS!$K28-CALCULATIONS!$L28)&gt;0,+CALCULATIONS!P28,"N/A ")</f>
        <v xml:space="preserve">N/A </v>
      </c>
      <c r="Q28" s="63">
        <f>IF((CALCULATIONS!$K28-CALCULATIONS!$L28)&gt;0,+CALCULATIONS!Q28,0)</f>
        <v>0</v>
      </c>
      <c r="S28" s="34">
        <f t="shared" si="1"/>
        <v>4453369.253426075</v>
      </c>
      <c r="T28" s="35">
        <f t="shared" si="0"/>
        <v>0</v>
      </c>
      <c r="U28" s="236">
        <f t="shared" si="2"/>
        <v>0</v>
      </c>
    </row>
    <row r="29" spans="1:21" ht="15.05" customHeight="1">
      <c r="A29" s="6" t="str">
        <f>IF((CALCULATIONS!$K29-CALCULATIONS!$L29)&gt;0,+CALCULATIONS!A29,"")</f>
        <v/>
      </c>
      <c r="B29" s="2" t="str">
        <f>IF((CALCULATIONS!$K29-CALCULATIONS!$L29)&gt;0,+CALCULATIONS!B29,"")</f>
        <v/>
      </c>
      <c r="C29" s="31" t="str">
        <f>IF((CALCULATIONS!$K29-CALCULATIONS!$L29)&gt;0,+CALCULATIONS!C29,"")</f>
        <v/>
      </c>
      <c r="D29" s="44">
        <f>IF((CALCULATIONS!$K29-CALCULATIONS!$L29)&gt;0,+CALCULATIONS!D29,0)</f>
        <v>0</v>
      </c>
      <c r="E29" s="28">
        <f>IF((CALCULATIONS!$K29-CALCULATIONS!$L29)&gt;0,+CALCULATIONS!E29,0)</f>
        <v>0</v>
      </c>
      <c r="F29" s="17">
        <f>IF((CALCULATIONS!$K29-CALCULATIONS!$L29)&gt;0,+CALCULATIONS!F29,0)</f>
        <v>0</v>
      </c>
      <c r="G29" s="31" t="str">
        <f>IF((CALCULATIONS!$K29-CALCULATIONS!$L29)&gt;0,+CALCULATIONS!G29,"")</f>
        <v/>
      </c>
      <c r="H29" s="47">
        <f>IF((CALCULATIONS!$K29-CALCULATIONS!$L29)&gt;0,+CALCULATIONS!H29,0)</f>
        <v>0</v>
      </c>
      <c r="I29" s="28">
        <f>IF((CALCULATIONS!$K29-CALCULATIONS!$L29)&gt;0,+CALCULATIONS!I29,0)</f>
        <v>0</v>
      </c>
      <c r="J29" s="17">
        <f>IF((CALCULATIONS!$K29-CALCULATIONS!$L29)&gt;0,+CALCULATIONS!J29,0)</f>
        <v>0</v>
      </c>
      <c r="K29" s="22">
        <f>IF((CALCULATIONS!$K29-CALCULATIONS!$L29)&gt;0,+CALCULATIONS!K29,0)</f>
        <v>0</v>
      </c>
      <c r="L29" s="23">
        <f>IF((CALCULATIONS!$K29-CALCULATIONS!$L29)&gt;0,+CALCULATIONS!L29,0)</f>
        <v>0</v>
      </c>
      <c r="M29" s="16">
        <f>IF((CALCULATIONS!$K29-CALCULATIONS!$L29)&gt;0,+CALCULATIONS!M29,0)</f>
        <v>0</v>
      </c>
      <c r="N29" s="17">
        <f>IF((CALCULATIONS!$K29-CALCULATIONS!$L29)&gt;0,+CALCULATIONS!N29,0)</f>
        <v>0</v>
      </c>
      <c r="O29" s="22">
        <f>IF((CALCULATIONS!$K29-CALCULATIONS!$L29)&gt;0,+CALCULATIONS!O29,0)</f>
        <v>0</v>
      </c>
      <c r="P29" s="62" t="str">
        <f>IF((CALCULATIONS!$K29-CALCULATIONS!$L29)&gt;0,+CALCULATIONS!P29,"N/A ")</f>
        <v xml:space="preserve">N/A </v>
      </c>
      <c r="Q29" s="63">
        <f>IF((CALCULATIONS!$K29-CALCULATIONS!$L29)&gt;0,+CALCULATIONS!Q29,0)</f>
        <v>0</v>
      </c>
      <c r="S29" s="34">
        <f t="shared" si="1"/>
        <v>4453369.253426075</v>
      </c>
      <c r="T29" s="35">
        <f t="shared" si="0"/>
        <v>0</v>
      </c>
      <c r="U29" s="236">
        <f t="shared" si="2"/>
        <v>0</v>
      </c>
    </row>
    <row r="30" spans="1:21" ht="15.05" customHeight="1">
      <c r="A30" s="6" t="str">
        <f>IF((CALCULATIONS!$K30-CALCULATIONS!$L30)&gt;0,+CALCULATIONS!A30,"")</f>
        <v/>
      </c>
      <c r="B30" s="2" t="str">
        <f>IF((CALCULATIONS!$K30-CALCULATIONS!$L30)&gt;0,+CALCULATIONS!B30,"")</f>
        <v/>
      </c>
      <c r="C30" s="31" t="str">
        <f>IF((CALCULATIONS!$K30-CALCULATIONS!$L30)&gt;0,+CALCULATIONS!C30,"")</f>
        <v/>
      </c>
      <c r="D30" s="44">
        <f>IF((CALCULATIONS!$K30-CALCULATIONS!$L30)&gt;0,+CALCULATIONS!D30,0)</f>
        <v>0</v>
      </c>
      <c r="E30" s="28">
        <f>IF((CALCULATIONS!$K30-CALCULATIONS!$L30)&gt;0,+CALCULATIONS!E30,0)</f>
        <v>0</v>
      </c>
      <c r="F30" s="17">
        <f>IF((CALCULATIONS!$K30-CALCULATIONS!$L30)&gt;0,+CALCULATIONS!F30,0)</f>
        <v>0</v>
      </c>
      <c r="G30" s="31" t="str">
        <f>IF((CALCULATIONS!$K30-CALCULATIONS!$L30)&gt;0,+CALCULATIONS!G30,"")</f>
        <v/>
      </c>
      <c r="H30" s="47">
        <f>IF((CALCULATIONS!$K30-CALCULATIONS!$L30)&gt;0,+CALCULATIONS!H30,0)</f>
        <v>0</v>
      </c>
      <c r="I30" s="28">
        <f>IF((CALCULATIONS!$K30-CALCULATIONS!$L30)&gt;0,+CALCULATIONS!I30,0)</f>
        <v>0</v>
      </c>
      <c r="J30" s="17">
        <f>IF((CALCULATIONS!$K30-CALCULATIONS!$L30)&gt;0,+CALCULATIONS!J30,0)</f>
        <v>0</v>
      </c>
      <c r="K30" s="22">
        <f>IF((CALCULATIONS!$K30-CALCULATIONS!$L30)&gt;0,+CALCULATIONS!K30,0)</f>
        <v>0</v>
      </c>
      <c r="L30" s="23">
        <f>IF((CALCULATIONS!$K30-CALCULATIONS!$L30)&gt;0,+CALCULATIONS!L30,0)</f>
        <v>0</v>
      </c>
      <c r="M30" s="16">
        <f>IF((CALCULATIONS!$K30-CALCULATIONS!$L30)&gt;0,+CALCULATIONS!M30,0)</f>
        <v>0</v>
      </c>
      <c r="N30" s="17">
        <f>IF((CALCULATIONS!$K30-CALCULATIONS!$L30)&gt;0,+CALCULATIONS!N30,0)</f>
        <v>0</v>
      </c>
      <c r="O30" s="22">
        <f>IF((CALCULATIONS!$K30-CALCULATIONS!$L30)&gt;0,+CALCULATIONS!O30,0)</f>
        <v>0</v>
      </c>
      <c r="P30" s="62" t="str">
        <f>IF((CALCULATIONS!$K30-CALCULATIONS!$L30)&gt;0,+CALCULATIONS!P30,"N/A ")</f>
        <v xml:space="preserve">N/A </v>
      </c>
      <c r="Q30" s="63">
        <f>IF((CALCULATIONS!$K30-CALCULATIONS!$L30)&gt;0,+CALCULATIONS!Q30,0)</f>
        <v>0</v>
      </c>
      <c r="S30" s="34">
        <f t="shared" si="1"/>
        <v>4453369.253426075</v>
      </c>
      <c r="T30" s="35">
        <f t="shared" si="0"/>
        <v>0</v>
      </c>
      <c r="U30" s="236">
        <f t="shared" si="2"/>
        <v>0</v>
      </c>
    </row>
    <row r="31" spans="1:21" ht="15.05" customHeight="1">
      <c r="A31" s="6" t="str">
        <f>IF((CALCULATIONS!$K31-CALCULATIONS!$L31)&gt;0,+CALCULATIONS!A31,"")</f>
        <v/>
      </c>
      <c r="B31" s="2" t="str">
        <f>IF((CALCULATIONS!$K31-CALCULATIONS!$L31)&gt;0,+CALCULATIONS!B31,"")</f>
        <v/>
      </c>
      <c r="C31" s="31" t="str">
        <f>IF((CALCULATIONS!$K31-CALCULATIONS!$L31)&gt;0,+CALCULATIONS!C31,"")</f>
        <v/>
      </c>
      <c r="D31" s="44">
        <f>IF((CALCULATIONS!$K31-CALCULATIONS!$L31)&gt;0,+CALCULATIONS!D31,0)</f>
        <v>0</v>
      </c>
      <c r="E31" s="28">
        <f>IF((CALCULATIONS!$K31-CALCULATIONS!$L31)&gt;0,+CALCULATIONS!E31,0)</f>
        <v>0</v>
      </c>
      <c r="F31" s="17">
        <f>IF((CALCULATIONS!$K31-CALCULATIONS!$L31)&gt;0,+CALCULATIONS!F31,0)</f>
        <v>0</v>
      </c>
      <c r="G31" s="31" t="str">
        <f>IF((CALCULATIONS!$K31-CALCULATIONS!$L31)&gt;0,+CALCULATIONS!G31,"")</f>
        <v/>
      </c>
      <c r="H31" s="47">
        <f>IF((CALCULATIONS!$K31-CALCULATIONS!$L31)&gt;0,+CALCULATIONS!H31,0)</f>
        <v>0</v>
      </c>
      <c r="I31" s="28">
        <f>IF((CALCULATIONS!$K31-CALCULATIONS!$L31)&gt;0,+CALCULATIONS!I31,0)</f>
        <v>0</v>
      </c>
      <c r="J31" s="17">
        <f>IF((CALCULATIONS!$K31-CALCULATIONS!$L31)&gt;0,+CALCULATIONS!J31,0)</f>
        <v>0</v>
      </c>
      <c r="K31" s="22">
        <f>IF((CALCULATIONS!$K31-CALCULATIONS!$L31)&gt;0,+CALCULATIONS!K31,0)</f>
        <v>0</v>
      </c>
      <c r="L31" s="23">
        <f>IF((CALCULATIONS!$K31-CALCULATIONS!$L31)&gt;0,+CALCULATIONS!L31,0)</f>
        <v>0</v>
      </c>
      <c r="M31" s="16">
        <f>IF((CALCULATIONS!$K31-CALCULATIONS!$L31)&gt;0,+CALCULATIONS!M31,0)</f>
        <v>0</v>
      </c>
      <c r="N31" s="17">
        <f>IF((CALCULATIONS!$K31-CALCULATIONS!$L31)&gt;0,+CALCULATIONS!N31,0)</f>
        <v>0</v>
      </c>
      <c r="O31" s="22">
        <f>IF((CALCULATIONS!$K31-CALCULATIONS!$L31)&gt;0,+CALCULATIONS!O31,0)</f>
        <v>0</v>
      </c>
      <c r="P31" s="62" t="str">
        <f>IF((CALCULATIONS!$K31-CALCULATIONS!$L31)&gt;0,+CALCULATIONS!P31,"N/A ")</f>
        <v xml:space="preserve">N/A </v>
      </c>
      <c r="Q31" s="63">
        <f>IF((CALCULATIONS!$K31-CALCULATIONS!$L31)&gt;0,+CALCULATIONS!Q31,0)</f>
        <v>0</v>
      </c>
      <c r="S31" s="34">
        <f t="shared" si="1"/>
        <v>4453369.253426075</v>
      </c>
      <c r="T31" s="35">
        <f t="shared" si="0"/>
        <v>0</v>
      </c>
      <c r="U31" s="236">
        <f t="shared" si="2"/>
        <v>0</v>
      </c>
    </row>
    <row r="32" spans="1:21" ht="15.05" customHeight="1">
      <c r="A32" s="6" t="str">
        <f>IF((CALCULATIONS!$K32-CALCULATIONS!$L32)&gt;0,+CALCULATIONS!A32,"")</f>
        <v/>
      </c>
      <c r="B32" s="2" t="str">
        <f>IF((CALCULATIONS!$K32-CALCULATIONS!$L32)&gt;0,+CALCULATIONS!B32,"")</f>
        <v/>
      </c>
      <c r="C32" s="31" t="str">
        <f>IF((CALCULATIONS!$K32-CALCULATIONS!$L32)&gt;0,+CALCULATIONS!C32,"")</f>
        <v/>
      </c>
      <c r="D32" s="44">
        <f>IF((CALCULATIONS!$K32-CALCULATIONS!$L32)&gt;0,+CALCULATIONS!D32,0)</f>
        <v>0</v>
      </c>
      <c r="E32" s="28">
        <f>IF((CALCULATIONS!$K32-CALCULATIONS!$L32)&gt;0,+CALCULATIONS!E32,0)</f>
        <v>0</v>
      </c>
      <c r="F32" s="17">
        <f>IF((CALCULATIONS!$K32-CALCULATIONS!$L32)&gt;0,+CALCULATIONS!F32,0)</f>
        <v>0</v>
      </c>
      <c r="G32" s="31" t="str">
        <f>IF((CALCULATIONS!$K32-CALCULATIONS!$L32)&gt;0,+CALCULATIONS!G32,"")</f>
        <v/>
      </c>
      <c r="H32" s="47">
        <f>IF((CALCULATIONS!$K32-CALCULATIONS!$L32)&gt;0,+CALCULATIONS!H32,0)</f>
        <v>0</v>
      </c>
      <c r="I32" s="28">
        <f>IF((CALCULATIONS!$K32-CALCULATIONS!$L32)&gt;0,+CALCULATIONS!I32,0)</f>
        <v>0</v>
      </c>
      <c r="J32" s="17">
        <f>IF((CALCULATIONS!$K32-CALCULATIONS!$L32)&gt;0,+CALCULATIONS!J32,0)</f>
        <v>0</v>
      </c>
      <c r="K32" s="22">
        <f>IF((CALCULATIONS!$K32-CALCULATIONS!$L32)&gt;0,+CALCULATIONS!K32,0)</f>
        <v>0</v>
      </c>
      <c r="L32" s="23">
        <f>IF((CALCULATIONS!$K32-CALCULATIONS!$L32)&gt;0,+CALCULATIONS!L32,0)</f>
        <v>0</v>
      </c>
      <c r="M32" s="16">
        <f>IF((CALCULATIONS!$K32-CALCULATIONS!$L32)&gt;0,+CALCULATIONS!M32,0)</f>
        <v>0</v>
      </c>
      <c r="N32" s="17">
        <f>IF((CALCULATIONS!$K32-CALCULATIONS!$L32)&gt;0,+CALCULATIONS!N32,0)</f>
        <v>0</v>
      </c>
      <c r="O32" s="22">
        <f>IF((CALCULATIONS!$K32-CALCULATIONS!$L32)&gt;0,+CALCULATIONS!O32,0)</f>
        <v>0</v>
      </c>
      <c r="P32" s="62" t="str">
        <f>IF((CALCULATIONS!$K32-CALCULATIONS!$L32)&gt;0,+CALCULATIONS!P32,"N/A ")</f>
        <v xml:space="preserve">N/A </v>
      </c>
      <c r="Q32" s="63">
        <f>IF((CALCULATIONS!$K32-CALCULATIONS!$L32)&gt;0,+CALCULATIONS!Q32,0)</f>
        <v>0</v>
      </c>
      <c r="S32" s="34">
        <f t="shared" si="1"/>
        <v>4453369.253426075</v>
      </c>
      <c r="T32" s="35">
        <f t="shared" si="0"/>
        <v>0</v>
      </c>
      <c r="U32" s="236">
        <f t="shared" si="2"/>
        <v>0</v>
      </c>
    </row>
    <row r="33" spans="1:24" ht="21.95" customHeight="1">
      <c r="A33" s="6" t="str">
        <f>IF((CALCULATIONS!$K33-CALCULATIONS!$L33)&gt;0,+CALCULATIONS!A33,"")</f>
        <v/>
      </c>
      <c r="B33" s="2" t="str">
        <f>IF((CALCULATIONS!$K33-CALCULATIONS!$L33)&gt;0,+CALCULATIONS!B33,"")</f>
        <v/>
      </c>
      <c r="C33" s="31" t="str">
        <f>IF((CALCULATIONS!$K33-CALCULATIONS!$L33)&gt;0,+CALCULATIONS!C33,"")</f>
        <v/>
      </c>
      <c r="D33" s="44">
        <f>IF((CALCULATIONS!$K33-CALCULATIONS!$L33)&gt;0,+CALCULATIONS!D33,0)</f>
        <v>0</v>
      </c>
      <c r="E33" s="28">
        <f>IF((CALCULATIONS!$K33-CALCULATIONS!$L33)&gt;0,+CALCULATIONS!E33,0)</f>
        <v>0</v>
      </c>
      <c r="F33" s="17">
        <f>IF((CALCULATIONS!$K33-CALCULATIONS!$L33)&gt;0,+CALCULATIONS!F33,0)</f>
        <v>0</v>
      </c>
      <c r="G33" s="31" t="str">
        <f>IF((CALCULATIONS!$K33-CALCULATIONS!$L33)&gt;0,+CALCULATIONS!G33,"")</f>
        <v/>
      </c>
      <c r="H33" s="47">
        <f>IF((CALCULATIONS!$K33-CALCULATIONS!$L33)&gt;0,+CALCULATIONS!H33,0)</f>
        <v>0</v>
      </c>
      <c r="I33" s="28">
        <f>IF((CALCULATIONS!$K33-CALCULATIONS!$L33)&gt;0,+CALCULATIONS!I33,0)</f>
        <v>0</v>
      </c>
      <c r="J33" s="17">
        <f>IF((CALCULATIONS!$K33-CALCULATIONS!$L33)&gt;0,+CALCULATIONS!J33,0)</f>
        <v>0</v>
      </c>
      <c r="K33" s="22">
        <f>IF((CALCULATIONS!$K33-CALCULATIONS!$L33)&gt;0,+CALCULATIONS!K33,0)</f>
        <v>0</v>
      </c>
      <c r="L33" s="23">
        <f>IF((CALCULATIONS!$K33-CALCULATIONS!$L33)&gt;0,+CALCULATIONS!L33,0)</f>
        <v>0</v>
      </c>
      <c r="M33" s="16">
        <f>IF((CALCULATIONS!$K33-CALCULATIONS!$L33)&gt;0,+CALCULATIONS!M33,0)</f>
        <v>0</v>
      </c>
      <c r="N33" s="17">
        <f>IF((CALCULATIONS!$K33-CALCULATIONS!$L33)&gt;0,+CALCULATIONS!N33,0)</f>
        <v>0</v>
      </c>
      <c r="O33" s="22">
        <f>IF((CALCULATIONS!$K33-CALCULATIONS!$L33)&gt;0,+CALCULATIONS!O33,0)</f>
        <v>0</v>
      </c>
      <c r="P33" s="62" t="str">
        <f>IF((CALCULATIONS!$K33-CALCULATIONS!$L33)&gt;0,+CALCULATIONS!P33,"N/A ")</f>
        <v xml:space="preserve">N/A </v>
      </c>
      <c r="Q33" s="63">
        <f>IF((CALCULATIONS!$K33-CALCULATIONS!$L33)&gt;0,+CALCULATIONS!Q33,0)</f>
        <v>0</v>
      </c>
      <c r="S33" s="34">
        <f t="shared" si="1"/>
        <v>4453369.253426075</v>
      </c>
      <c r="T33" s="35">
        <f t="shared" si="0"/>
        <v>0</v>
      </c>
      <c r="U33" s="236">
        <f t="shared" si="2"/>
        <v>0</v>
      </c>
    </row>
    <row r="34" spans="1:24" ht="15.05" customHeight="1">
      <c r="A34" s="6" t="str">
        <f>IF((CALCULATIONS!$K34-CALCULATIONS!$L34)&gt;0,+CALCULATIONS!A34,"")</f>
        <v/>
      </c>
      <c r="B34" s="2" t="str">
        <f>IF((CALCULATIONS!$K34-CALCULATIONS!$L34)&gt;0,+CALCULATIONS!B34,"")</f>
        <v/>
      </c>
      <c r="C34" s="31" t="str">
        <f>IF((CALCULATIONS!$K34-CALCULATIONS!$L34)&gt;0,+CALCULATIONS!C34,"")</f>
        <v/>
      </c>
      <c r="D34" s="44">
        <f>IF((CALCULATIONS!$K34-CALCULATIONS!$L34)&gt;0,+CALCULATIONS!D34,0)</f>
        <v>0</v>
      </c>
      <c r="E34" s="28">
        <f>IF((CALCULATIONS!$K34-CALCULATIONS!$L34)&gt;0,+CALCULATIONS!E34,0)</f>
        <v>0</v>
      </c>
      <c r="F34" s="17">
        <f>IF((CALCULATIONS!$K34-CALCULATIONS!$L34)&gt;0,+CALCULATIONS!F34,0)</f>
        <v>0</v>
      </c>
      <c r="G34" s="31" t="str">
        <f>IF((CALCULATIONS!$K34-CALCULATIONS!$L34)&gt;0,+CALCULATIONS!G34,"")</f>
        <v/>
      </c>
      <c r="H34" s="47">
        <f>IF((CALCULATIONS!$K34-CALCULATIONS!$L34)&gt;0,+CALCULATIONS!H34,0)</f>
        <v>0</v>
      </c>
      <c r="I34" s="28">
        <f>IF((CALCULATIONS!$K34-CALCULATIONS!$L34)&gt;0,+CALCULATIONS!I34,0)</f>
        <v>0</v>
      </c>
      <c r="J34" s="17">
        <f>IF((CALCULATIONS!$K34-CALCULATIONS!$L34)&gt;0,+CALCULATIONS!J34,0)</f>
        <v>0</v>
      </c>
      <c r="K34" s="22">
        <f>IF((CALCULATIONS!$K34-CALCULATIONS!$L34)&gt;0,+CALCULATIONS!K34,0)</f>
        <v>0</v>
      </c>
      <c r="L34" s="23">
        <f>IF((CALCULATIONS!$K34-CALCULATIONS!$L34)&gt;0,+CALCULATIONS!L34,0)</f>
        <v>0</v>
      </c>
      <c r="M34" s="16">
        <f>IF((CALCULATIONS!$K34-CALCULATIONS!$L34)&gt;0,+CALCULATIONS!M34,0)</f>
        <v>0</v>
      </c>
      <c r="N34" s="17">
        <f>IF((CALCULATIONS!$K34-CALCULATIONS!$L34)&gt;0,+CALCULATIONS!N34,0)</f>
        <v>0</v>
      </c>
      <c r="O34" s="22">
        <f>IF((CALCULATIONS!$K34-CALCULATIONS!$L34)&gt;0,+CALCULATIONS!O34,0)</f>
        <v>0</v>
      </c>
      <c r="P34" s="62" t="str">
        <f>IF((CALCULATIONS!$K34-CALCULATIONS!$L34)&gt;0,+CALCULATIONS!P34,"N/A ")</f>
        <v xml:space="preserve">N/A </v>
      </c>
      <c r="Q34" s="63">
        <f>IF((CALCULATIONS!$K34-CALCULATIONS!$L34)&gt;0,+CALCULATIONS!Q34,0)</f>
        <v>0</v>
      </c>
      <c r="S34" s="34">
        <f t="shared" si="1"/>
        <v>4453369.253426075</v>
      </c>
      <c r="T34" s="35">
        <f t="shared" si="0"/>
        <v>0</v>
      </c>
      <c r="U34" s="236">
        <f t="shared" si="2"/>
        <v>0</v>
      </c>
    </row>
    <row r="35" spans="1:24" ht="15.05" customHeight="1">
      <c r="A35" s="6" t="str">
        <f>IF((CALCULATIONS!$K35-CALCULATIONS!$L35)&gt;0,+CALCULATIONS!A35,"")</f>
        <v/>
      </c>
      <c r="B35" s="2" t="str">
        <f>IF((CALCULATIONS!$K35-CALCULATIONS!$L35)&gt;0,+CALCULATIONS!B35,"")</f>
        <v/>
      </c>
      <c r="C35" s="31" t="str">
        <f>IF((CALCULATIONS!$K35-CALCULATIONS!$L35)&gt;0,+CALCULATIONS!C35,"")</f>
        <v/>
      </c>
      <c r="D35" s="44">
        <f>IF((CALCULATIONS!$K35-CALCULATIONS!$L35)&gt;0,+CALCULATIONS!D35,0)</f>
        <v>0</v>
      </c>
      <c r="E35" s="28">
        <f>IF((CALCULATIONS!$K35-CALCULATIONS!$L35)&gt;0,+CALCULATIONS!E35,0)</f>
        <v>0</v>
      </c>
      <c r="F35" s="17">
        <f>IF((CALCULATIONS!$K35-CALCULATIONS!$L35)&gt;0,+CALCULATIONS!F35,0)</f>
        <v>0</v>
      </c>
      <c r="G35" s="31" t="str">
        <f>IF((CALCULATIONS!$K35-CALCULATIONS!$L35)&gt;0,+CALCULATIONS!G35,"")</f>
        <v/>
      </c>
      <c r="H35" s="47">
        <f>IF((CALCULATIONS!$K35-CALCULATIONS!$L35)&gt;0,+CALCULATIONS!H35,0)</f>
        <v>0</v>
      </c>
      <c r="I35" s="28">
        <f>IF((CALCULATIONS!$K35-CALCULATIONS!$L35)&gt;0,+CALCULATIONS!I35,0)</f>
        <v>0</v>
      </c>
      <c r="J35" s="17">
        <f>IF((CALCULATIONS!$K35-CALCULATIONS!$L35)&gt;0,+CALCULATIONS!J35,0)</f>
        <v>0</v>
      </c>
      <c r="K35" s="22">
        <f>IF((CALCULATIONS!$K35-CALCULATIONS!$L35)&gt;0,+CALCULATIONS!K35,0)</f>
        <v>0</v>
      </c>
      <c r="L35" s="23">
        <f>IF((CALCULATIONS!$K35-CALCULATIONS!$L35)&gt;0,+CALCULATIONS!L35,0)</f>
        <v>0</v>
      </c>
      <c r="M35" s="16">
        <f>IF((CALCULATIONS!$K35-CALCULATIONS!$L35)&gt;0,+CALCULATIONS!M35,0)</f>
        <v>0</v>
      </c>
      <c r="N35" s="17">
        <f>IF((CALCULATIONS!$K35-CALCULATIONS!$L35)&gt;0,+CALCULATIONS!N35,0)</f>
        <v>0</v>
      </c>
      <c r="O35" s="22">
        <f>IF((CALCULATIONS!$K35-CALCULATIONS!$L35)&gt;0,+CALCULATIONS!O35,0)</f>
        <v>0</v>
      </c>
      <c r="P35" s="62" t="str">
        <f>IF((CALCULATIONS!$K35-CALCULATIONS!$L35)&gt;0,+CALCULATIONS!P35,"N/A ")</f>
        <v xml:space="preserve">N/A </v>
      </c>
      <c r="Q35" s="63">
        <f>IF((CALCULATIONS!$K35-CALCULATIONS!$L35)&gt;0,+CALCULATIONS!Q35,0)</f>
        <v>0</v>
      </c>
      <c r="S35" s="34">
        <f t="shared" si="1"/>
        <v>4453369.253426075</v>
      </c>
      <c r="T35" s="35">
        <f t="shared" si="0"/>
        <v>0</v>
      </c>
      <c r="U35" s="236">
        <f t="shared" si="2"/>
        <v>0</v>
      </c>
    </row>
    <row r="36" spans="1:24" ht="15.05" customHeight="1">
      <c r="A36" s="6" t="str">
        <f>IF((CALCULATIONS!$K36-CALCULATIONS!$L36)&gt;0,+CALCULATIONS!A36,"")</f>
        <v/>
      </c>
      <c r="B36" s="2" t="str">
        <f>IF((CALCULATIONS!$K36-CALCULATIONS!$L36)&gt;0,+CALCULATIONS!B36,"")</f>
        <v/>
      </c>
      <c r="C36" s="31" t="str">
        <f>IF((CALCULATIONS!$K36-CALCULATIONS!$L36)&gt;0,+CALCULATIONS!C36,"")</f>
        <v/>
      </c>
      <c r="D36" s="44">
        <f>IF((CALCULATIONS!$K36-CALCULATIONS!$L36)&gt;0,+CALCULATIONS!D36,0)</f>
        <v>0</v>
      </c>
      <c r="E36" s="28">
        <f>IF((CALCULATIONS!$K36-CALCULATIONS!$L36)&gt;0,+CALCULATIONS!E36,0)</f>
        <v>0</v>
      </c>
      <c r="F36" s="17">
        <f>IF((CALCULATIONS!$K36-CALCULATIONS!$L36)&gt;0,+CALCULATIONS!F36,0)</f>
        <v>0</v>
      </c>
      <c r="G36" s="31" t="str">
        <f>IF((CALCULATIONS!$K36-CALCULATIONS!$L36)&gt;0,+CALCULATIONS!G36,"")</f>
        <v/>
      </c>
      <c r="H36" s="47">
        <f>IF((CALCULATIONS!$K36-CALCULATIONS!$L36)&gt;0,+CALCULATIONS!H36,0)</f>
        <v>0</v>
      </c>
      <c r="I36" s="28">
        <f>IF((CALCULATIONS!$K36-CALCULATIONS!$L36)&gt;0,+CALCULATIONS!I36,0)</f>
        <v>0</v>
      </c>
      <c r="J36" s="17">
        <f>IF((CALCULATIONS!$K36-CALCULATIONS!$L36)&gt;0,+CALCULATIONS!J36,0)</f>
        <v>0</v>
      </c>
      <c r="K36" s="22">
        <f>IF((CALCULATIONS!$K36-CALCULATIONS!$L36)&gt;0,+CALCULATIONS!K36,0)</f>
        <v>0</v>
      </c>
      <c r="L36" s="23">
        <f>IF((CALCULATIONS!$K36-CALCULATIONS!$L36)&gt;0,+CALCULATIONS!L36,0)</f>
        <v>0</v>
      </c>
      <c r="M36" s="16">
        <f>IF((CALCULATIONS!$K36-CALCULATIONS!$L36)&gt;0,+CALCULATIONS!M36,0)</f>
        <v>0</v>
      </c>
      <c r="N36" s="17">
        <f>IF((CALCULATIONS!$K36-CALCULATIONS!$L36)&gt;0,+CALCULATIONS!N36,0)</f>
        <v>0</v>
      </c>
      <c r="O36" s="22">
        <f>IF((CALCULATIONS!$K36-CALCULATIONS!$L36)&gt;0,+CALCULATIONS!O36,0)</f>
        <v>0</v>
      </c>
      <c r="P36" s="62" t="str">
        <f>IF((CALCULATIONS!$K36-CALCULATIONS!$L36)&gt;0,+CALCULATIONS!P36,"N/A ")</f>
        <v xml:space="preserve">N/A </v>
      </c>
      <c r="Q36" s="63">
        <f>IF((CALCULATIONS!$K36-CALCULATIONS!$L36)&gt;0,+CALCULATIONS!Q36,0)</f>
        <v>0</v>
      </c>
      <c r="S36" s="34">
        <f t="shared" si="1"/>
        <v>4453369.253426075</v>
      </c>
      <c r="T36" s="35">
        <f t="shared" si="0"/>
        <v>0</v>
      </c>
      <c r="U36" s="236">
        <f t="shared" si="2"/>
        <v>0</v>
      </c>
    </row>
    <row r="37" spans="1:24" ht="15.05" customHeight="1" thickBot="1">
      <c r="A37" s="6" t="str">
        <f>IF((CALCULATIONS!$K37-CALCULATIONS!$L37)&gt;0,+CALCULATIONS!A37,"")</f>
        <v/>
      </c>
      <c r="B37" s="3" t="str">
        <f>IF((CALCULATIONS!$K37-CALCULATIONS!$L37)&gt;0,+CALCULATIONS!B37,"")</f>
        <v/>
      </c>
      <c r="C37" s="32" t="str">
        <f>IF((CALCULATIONS!$K37-CALCULATIONS!$L37)&gt;0,+CALCULATIONS!C37,"")</f>
        <v/>
      </c>
      <c r="D37" s="45">
        <f>IF((CALCULATIONS!$K37-CALCULATIONS!$L37)&gt;0,+CALCULATIONS!D37,0)</f>
        <v>0</v>
      </c>
      <c r="E37" s="29">
        <f>IF((CALCULATIONS!$K37-CALCULATIONS!$L37)&gt;0,+CALCULATIONS!E37,0)</f>
        <v>0</v>
      </c>
      <c r="F37" s="19">
        <f>IF((CALCULATIONS!$K37-CALCULATIONS!$L37)&gt;0,+CALCULATIONS!F37,0)</f>
        <v>0</v>
      </c>
      <c r="G37" s="32" t="str">
        <f>IF((CALCULATIONS!$K37-CALCULATIONS!$L37)&gt;0,+CALCULATIONS!G37,"")</f>
        <v/>
      </c>
      <c r="H37" s="48">
        <f>IF((CALCULATIONS!$K37-CALCULATIONS!$L37)&gt;0,+CALCULATIONS!H37,0)</f>
        <v>0</v>
      </c>
      <c r="I37" s="29">
        <f>IF((CALCULATIONS!$K37-CALCULATIONS!$L37)&gt;0,+CALCULATIONS!I37,0)</f>
        <v>0</v>
      </c>
      <c r="J37" s="19">
        <f>IF((CALCULATIONS!$K37-CALCULATIONS!$L37)&gt;0,+CALCULATIONS!J37,0)</f>
        <v>0</v>
      </c>
      <c r="K37" s="24">
        <f>IF((CALCULATIONS!$K37-CALCULATIONS!$L37)&gt;0,+CALCULATIONS!K37,0)</f>
        <v>0</v>
      </c>
      <c r="L37" s="25">
        <f>IF((CALCULATIONS!$K37-CALCULATIONS!$L37)&gt;0,+CALCULATIONS!L37,0)</f>
        <v>0</v>
      </c>
      <c r="M37" s="18">
        <f>IF((CALCULATIONS!$K37-CALCULATIONS!$L37)&gt;0,+CALCULATIONS!M37,0)</f>
        <v>0</v>
      </c>
      <c r="N37" s="19">
        <f>IF((CALCULATIONS!$K37-CALCULATIONS!$L37)&gt;0,+CALCULATIONS!N37,0)</f>
        <v>0</v>
      </c>
      <c r="O37" s="24">
        <f>IF((CALCULATIONS!$K37-CALCULATIONS!$L37)&gt;0,+CALCULATIONS!O37,0)</f>
        <v>0</v>
      </c>
      <c r="P37" s="64" t="str">
        <f>IF((CALCULATIONS!$K37-CALCULATIONS!$L37)&gt;0,+CALCULATIONS!P37,"N/A ")</f>
        <v xml:space="preserve">N/A </v>
      </c>
      <c r="Q37" s="19">
        <f>IF((CALCULATIONS!$K37-CALCULATIONS!$L37)&gt;0,+CALCULATIONS!Q37,0)</f>
        <v>0</v>
      </c>
      <c r="S37" s="234">
        <f t="shared" si="1"/>
        <v>4453369.253426075</v>
      </c>
      <c r="T37" s="235">
        <f t="shared" si="0"/>
        <v>0</v>
      </c>
      <c r="U37" s="237">
        <f t="shared" si="2"/>
        <v>0</v>
      </c>
    </row>
    <row r="38" spans="1:24" ht="18" customHeight="1" thickTop="1" thickBot="1">
      <c r="A38" s="4"/>
      <c r="B38" s="9" t="s">
        <v>12</v>
      </c>
      <c r="C38" s="70"/>
      <c r="D38" s="71">
        <f>SUM(D13:D37)</f>
        <v>112411.09980511499</v>
      </c>
      <c r="E38" s="72"/>
      <c r="F38" s="73">
        <f>SUM(F13:F37)</f>
        <v>5213622.5888217548</v>
      </c>
      <c r="G38" s="74"/>
      <c r="H38" s="75">
        <f>SUM(H13:H37)</f>
        <v>703754.84751884406</v>
      </c>
      <c r="I38" s="76"/>
      <c r="J38" s="77">
        <f t="shared" ref="J38:O38" si="3">SUM(J13:J37)</f>
        <v>1777762.1173910387</v>
      </c>
      <c r="K38" s="26">
        <f t="shared" si="3"/>
        <v>6991384.7062127916</v>
      </c>
      <c r="L38" s="78">
        <f t="shared" si="3"/>
        <v>2488015.452786718</v>
      </c>
      <c r="M38" s="79">
        <f t="shared" si="3"/>
        <v>50000</v>
      </c>
      <c r="N38" s="80">
        <f t="shared" si="3"/>
        <v>2538015.452786718</v>
      </c>
      <c r="O38" s="26">
        <f t="shared" si="3"/>
        <v>4453369.253426075</v>
      </c>
      <c r="P38" s="231">
        <f>IF(Q38=0,"N/A ",+Q38/O38)</f>
        <v>0.72006892381317389</v>
      </c>
      <c r="Q38" s="81">
        <f>SUM(Q13:Q37)</f>
        <v>3206732.8056571917</v>
      </c>
      <c r="S38" s="232"/>
      <c r="T38" s="233">
        <f>SUM(T13:T37)</f>
        <v>3</v>
      </c>
      <c r="U38" s="238">
        <f>SUM(U13:U37)</f>
        <v>0.77135910717186984</v>
      </c>
      <c r="V38" s="239">
        <f>+T38+U38</f>
        <v>3.77135910717187</v>
      </c>
      <c r="W38" s="38" t="s">
        <v>82</v>
      </c>
      <c r="X38" s="33"/>
    </row>
    <row r="39" spans="1:24" ht="18" customHeight="1">
      <c r="A39" s="6"/>
      <c r="B39" s="4"/>
      <c r="C39" s="39"/>
      <c r="D39" s="40" t="s">
        <v>83</v>
      </c>
      <c r="E39" s="41"/>
      <c r="F39" s="50">
        <f>IF(K38=0,"N/A",+F38/$K38)</f>
        <v>0.74572102779421445</v>
      </c>
      <c r="G39" s="42"/>
      <c r="H39" s="40" t="s">
        <v>84</v>
      </c>
      <c r="I39" s="49"/>
      <c r="J39" s="50">
        <f>IF(K38=0,"N/A",+J38/$K38)</f>
        <v>0.25427897220578582</v>
      </c>
      <c r="K39" s="41"/>
      <c r="L39" s="4"/>
      <c r="M39" s="4"/>
      <c r="N39" s="4"/>
      <c r="O39" s="4"/>
      <c r="P39" s="65" t="s">
        <v>74</v>
      </c>
      <c r="Q39" s="67">
        <f>+CALCULATIONS!O54</f>
        <v>23781</v>
      </c>
      <c r="R39" s="13"/>
    </row>
    <row r="40" spans="1:24">
      <c r="A40" s="4"/>
      <c r="C40" s="4"/>
      <c r="D40" s="7"/>
      <c r="E40" s="8"/>
      <c r="F40" s="52" t="s">
        <v>87</v>
      </c>
      <c r="G40" s="53"/>
      <c r="H40" s="53"/>
      <c r="I40" s="54"/>
      <c r="J40" s="52" t="s">
        <v>87</v>
      </c>
      <c r="K40" s="51"/>
      <c r="L40" s="4"/>
      <c r="M40" s="4"/>
      <c r="N40" s="4"/>
      <c r="O40" s="4"/>
      <c r="P40" s="66" t="s">
        <v>10</v>
      </c>
      <c r="Q40" s="68">
        <f>1/((1+'LTC RULES'!$D$18)^(COUNT(A13:A37)+0.5))</f>
        <v>0.45537671402549784</v>
      </c>
      <c r="R40" s="13"/>
    </row>
    <row r="41" spans="1:24" ht="15.05" thickBot="1">
      <c r="A41" s="4"/>
      <c r="E41" s="8"/>
      <c r="F41" s="8"/>
      <c r="G41" s="8"/>
      <c r="H41" s="8"/>
      <c r="I41" s="8"/>
      <c r="J41" s="8"/>
      <c r="K41" s="8"/>
      <c r="L41" s="4"/>
      <c r="M41" s="4"/>
      <c r="N41" s="4"/>
      <c r="O41" s="4"/>
      <c r="P41" s="66" t="s">
        <v>75</v>
      </c>
      <c r="Q41" s="69">
        <f>+Q40*Q39</f>
        <v>10829.313636240364</v>
      </c>
      <c r="R41" s="13"/>
    </row>
    <row r="42" spans="1:24" ht="17.2" customHeight="1" thickBot="1">
      <c r="A42" s="4"/>
      <c r="C42" s="10" t="s">
        <v>106</v>
      </c>
      <c r="D42" s="85">
        <f>COUNT(A13:A37)</f>
        <v>13</v>
      </c>
      <c r="E42" s="13"/>
      <c r="F42" s="66" t="s">
        <v>107</v>
      </c>
      <c r="G42" s="86">
        <f>IF(V38=0,"N/A",+V38)</f>
        <v>3.77135910717187</v>
      </c>
      <c r="H42" s="13"/>
      <c r="J42" s="66" t="s">
        <v>108</v>
      </c>
      <c r="K42" s="87">
        <f>IF(K38=0,"N/A",+N38/K38)</f>
        <v>0.36302042577221472</v>
      </c>
      <c r="M42" s="4"/>
      <c r="N42" s="4"/>
      <c r="O42" s="4"/>
      <c r="P42" s="11" t="s">
        <v>76</v>
      </c>
      <c r="Q42" s="12">
        <f>IF(Q38&gt;Q41,+ROUND(Q38,-1),+ROUND(Q41,-1))</f>
        <v>3206730</v>
      </c>
    </row>
    <row r="44" spans="1:24" ht="92.3" customHeight="1">
      <c r="A44" s="576" t="s">
        <v>284</v>
      </c>
      <c r="B44" s="576"/>
      <c r="C44" s="576"/>
      <c r="D44" s="576"/>
      <c r="E44" s="576"/>
      <c r="F44" s="576"/>
      <c r="G44" s="576"/>
      <c r="H44" s="576"/>
      <c r="I44" s="576"/>
      <c r="J44" s="576"/>
      <c r="K44" s="576"/>
      <c r="L44" s="576"/>
      <c r="M44" s="576"/>
      <c r="N44" s="576"/>
      <c r="O44" s="576"/>
      <c r="P44" s="576"/>
      <c r="Q44" s="576"/>
    </row>
  </sheetData>
  <sheetProtection algorithmName="SHA-512" hashValue="7VPab91urlwwNn76zaeUBt6mBhqkREad/pOcogveoPnLB/xdi9Wrs8Ojmn1S9oNndHiZeX7RNW7fuPiUi4F5SQ==" saltValue="usM4nL7IWOM0uv3NnhZVqw==" spinCount="100000" sheet="1" objects="1" scenarios="1"/>
  <mergeCells count="7">
    <mergeCell ref="A1:Q1"/>
    <mergeCell ref="A44:Q44"/>
    <mergeCell ref="A2:Q2"/>
    <mergeCell ref="C11:F11"/>
    <mergeCell ref="G11:J11"/>
    <mergeCell ref="L11:N11"/>
    <mergeCell ref="P11:Q11"/>
  </mergeCells>
  <pageMargins left="0.25" right="0.25" top="0.25" bottom="0.25" header="0.1" footer="0.1"/>
  <pageSetup paperSize="5" scale="70" orientation="landscape" r:id="rId1"/>
  <headerFooter>
    <oddFooter>&amp;L&amp;F (&amp;D) /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LAT12 and 12A FORMS</vt:lpstr>
      <vt:lpstr>LTC RULES</vt:lpstr>
      <vt:lpstr>PROPERTY DATA</vt:lpstr>
      <vt:lpstr>CALCULATIONS</vt:lpstr>
      <vt:lpstr>REPORT</vt:lpstr>
      <vt:lpstr>b</vt:lpstr>
      <vt:lpstr>di</vt:lpstr>
      <vt:lpstr>dt</vt:lpstr>
      <vt:lpstr>DTO</vt:lpstr>
      <vt:lpstr>CALCULATIONS!Print_Area</vt:lpstr>
      <vt:lpstr>'LAT12 and 12A FORMS'!Print_Area</vt:lpstr>
      <vt:lpstr>'LTC RULES'!Print_Area</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AMARRKRE</dc:creator>
  <cp:lastModifiedBy>Rodney Kret</cp:lastModifiedBy>
  <cp:lastPrinted>2024-02-05T16:14:49Z</cp:lastPrinted>
  <dcterms:created xsi:type="dcterms:W3CDTF">2014-05-08T22:53:02Z</dcterms:created>
  <dcterms:modified xsi:type="dcterms:W3CDTF">2024-02-05T20:03:45Z</dcterms:modified>
</cp:coreProperties>
</file>